
<file path=[Content_Types].xml><?xml version="1.0" encoding="utf-8"?>
<Types xmlns="http://schemas.openxmlformats.org/package/2006/content-types">
  <Default Extension="xml" ContentType="application/xml"/>
  <Default Extension="vml" ContentType="application/vnd.openxmlformats-officedocument.vmlDrawing"/>
  <Default Extension="jpeg" ContentType="image/jpeg"/>
  <Default Extension="JPG" ContentType="image/.jpg"/>
  <Default Extension="gif" ContentType="image/gif"/>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trlProps/ctrlProp1.xml" ContentType="application/vnd.ms-excel.control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workbookProtection workbookAlgorithmName="SHA-512" workbookHashValue="tJMU8R9c0VKfb39+SPkKNlIuE1NSdkH4aIQIFDLp6r4LoBn3G/n1Yo3CPawD1hQFg/hK8GKi2GRiQ0bCWoyAQw==" workbookSaltValue="6RbOUe9274EjTZSL04n8Rg==" workbookSpinCount="100000" lockStructure="1"/>
  <bookViews>
    <workbookView windowWidth="27945" windowHeight="12300"/>
  </bookViews>
  <sheets>
    <sheet name="Design Converter" sheetId="1" r:id="rId1"/>
    <sheet name="Licenses" sheetId="10" r:id="rId2"/>
    <sheet name="Variable_Management" sheetId="2" state="hidden" r:id="rId3"/>
    <sheet name="Eff_vs_IOUT" sheetId="4" state="hidden" r:id="rId4"/>
    <sheet name="Loop_Modeling" sheetId="5" state="hidden" r:id="rId5"/>
    <sheet name="Constants" sheetId="3" state="hidden" r:id="rId6"/>
    <sheet name="Plot_Management_Eff" sheetId="6" state="hidden" r:id="rId7"/>
    <sheet name="Plot_Management_Sch" sheetId="7" state="hidden" r:id="rId8"/>
    <sheet name="Lists" sheetId="8" state="hidden" r:id="rId9"/>
  </sheets>
  <definedNames>
    <definedName name="Acs">Constants!$B$30</definedName>
    <definedName name="Adc">Loop_Modeling!$B$34</definedName>
    <definedName name="Adc_ea">Loop_Modeling!$B$58</definedName>
    <definedName name="ADC_VINmin">Variable_Management!$B$178</definedName>
    <definedName name="Cac">Variable_Management!$B$132</definedName>
    <definedName name="Cac_min">Variable_Management!$B$131</definedName>
    <definedName name="CCOMP">Variable_Management!$B$238</definedName>
    <definedName name="CCOMP_Calc">Variable_Management!$B$237</definedName>
    <definedName name="CCOMP_calc_CCM">Variable_Management!$B$207</definedName>
    <definedName name="CCOMP_CALC_DCM">Variable_Management!$B$228</definedName>
    <definedName name="CHF">Variable_Management!$B$240</definedName>
    <definedName name="CHF_calc">Variable_Management!$B$239</definedName>
    <definedName name="CHF_CALC_CCM">Variable_Management!$B$208</definedName>
    <definedName name="CHF_CALC_DCM">Variable_Management!$B$229</definedName>
    <definedName name="Comp_calc_CCM">Variable_Management!$B$207</definedName>
    <definedName name="Cout">Variable_Management!$B$144</definedName>
    <definedName name="Cout_min">Variable_Management!$B$142</definedName>
    <definedName name="D_limit_max">Constants!$B$18</definedName>
    <definedName name="D_limit_min">Constants!$B$16</definedName>
    <definedName name="D_limit_nom">Constants!$B$17</definedName>
    <definedName name="DC_DCM_max">Variable_Management!$B$32</definedName>
    <definedName name="Dc_max_IC">Variable_Management!$B$20</definedName>
    <definedName name="Dc_max_ideal">Variable_Management!$A$19</definedName>
    <definedName name="DC_rip">Variable_Management!#REF!</definedName>
    <definedName name="Dc_rip_max">Variable_Management!#REF!</definedName>
    <definedName name="Dc_VIN_max">Variable_Management!$B$87</definedName>
    <definedName name="Dc_VIN_min">Variable_Management!$B$53</definedName>
    <definedName name="Dc_VIN_nom">Variable_Management!$B$70</definedName>
    <definedName name="DC_VIN_Var">Loop_Modeling!$B$18</definedName>
    <definedName name="DC_VIN_var_DCM">Loop_Modeling!$B$66</definedName>
    <definedName name="EFF_est">Variable_Management!$B$17</definedName>
    <definedName name="Eff_vs_IOUT">Plot_Management_Eff!$C$3</definedName>
    <definedName name="fcross">Variable_Management!$B$233</definedName>
    <definedName name="fcross_est">Variable_Management!$B$232</definedName>
    <definedName name="fp_ea_est">Variable_Management!$B$202</definedName>
    <definedName name="Fsw">Variable_Management!$B$10</definedName>
    <definedName name="fz_ea_est">Variable_Management!$B$201</definedName>
    <definedName name="fz_rhp">Variable_Management!$B$187</definedName>
    <definedName name="Gcomp">Constants!$B$29</definedName>
    <definedName name="Gea_mid_calc">Variable_Management!#REF!</definedName>
    <definedName name="gfs">Variable_Management!$B$256</definedName>
    <definedName name="gm_ea">Constants!$B$34</definedName>
    <definedName name="Gplant_fc_dB">Loop_Modeling!$AD$7</definedName>
    <definedName name="IIN_33">Variable_Management!#REF!</definedName>
    <definedName name="IL_coupled">Variable_Management!$B$24</definedName>
    <definedName name="IL_pk">Variable_Management!$B$122</definedName>
    <definedName name="IL_pk_max">Variable_Management!$B$123</definedName>
    <definedName name="ILA_avg_VIN_max">Variable_Management!$B$90</definedName>
    <definedName name="ILA_avg_VIN_min">Variable_Management!$B$56</definedName>
    <definedName name="ILA_avg_VIN_nom">Variable_Management!$B$73</definedName>
    <definedName name="ILAp_VINmax">Variable_Management!$B$92</definedName>
    <definedName name="ILAp_VINmin">Variable_Management!$B$58</definedName>
    <definedName name="ILAp_VINnom">Variable_Management!$B$75</definedName>
    <definedName name="ILArip_VINmax">Variable_Management!$B$91</definedName>
    <definedName name="ILArip_VINmin">Variable_Management!$B$57</definedName>
    <definedName name="ILArip_VINnom">Variable_Management!$B$74</definedName>
    <definedName name="ILB_avg_VIN_max">Variable_Management!$B$95</definedName>
    <definedName name="ILB_avg_VIN_min">Variable_Management!$B$61</definedName>
    <definedName name="ILB_avg_VIN_nom">Variable_Management!$B$78</definedName>
    <definedName name="ILBp_VIN_max">Variable_Management!$B$97</definedName>
    <definedName name="ILBp_VIN_min">Variable_Management!$B$63</definedName>
    <definedName name="ILBp_VIN_nom">Variable_Management!$B$80</definedName>
    <definedName name="ILBrip_VIN_max">Variable_Management!$B$96</definedName>
    <definedName name="ILBrip_VIN_nom">Variable_Management!$B$79</definedName>
    <definedName name="ILBrip_VINmin">Variable_Management!$B$62</definedName>
    <definedName name="ILrip">Variable_Management!$B$28</definedName>
    <definedName name="IOUT">Variable_Management!$B$14</definedName>
    <definedName name="IOUT_VAR">Loop_Modeling!$B$17</definedName>
    <definedName name="Ipk_margin">Variable_Management!$B$103</definedName>
    <definedName name="Ipk_selected">Variable_Management!$B$104</definedName>
    <definedName name="IQ">Constants!$B$48</definedName>
    <definedName name="IRMS_COUT">Variable_Management!$B$143</definedName>
    <definedName name="Isl">Constants!$B$25</definedName>
    <definedName name="Iss">Constants!$B$37</definedName>
    <definedName name="ISW_peak_VIN_min">Variable_Management!$B$66</definedName>
    <definedName name="ISW_peak_VIN_nom">Variable_Management!$B$83</definedName>
    <definedName name="Kslope">Variable_Management!$B$110</definedName>
    <definedName name="Lm">Variable_Management!$B$40</definedName>
    <definedName name="Lm_A">Variable_Management!$B$42</definedName>
    <definedName name="Lm_B">Variable_Management!$B$44</definedName>
    <definedName name="Lopt">Variable_Management!#REF!</definedName>
    <definedName name="Lopt_2">Variable_Management!$B$29</definedName>
    <definedName name="M_L_DCM">Variable_Management!$B$34</definedName>
    <definedName name="POUT">Variable_Management!$B$16</definedName>
    <definedName name="_xlnm.Print_Area" localSheetId="0">'Design Converter'!$A$1:$Z$102</definedName>
    <definedName name="Q">Loop_Modeling!$B$48</definedName>
    <definedName name="Q_VINmin">Variable_Management!$B$195</definedName>
    <definedName name="Qg_tot">Variable_Management!$B$251</definedName>
    <definedName name="Qgd">Variable_Management!$B$252</definedName>
    <definedName name="Qgs">Variable_Management!$B$253</definedName>
    <definedName name="Qrr">Variable_Management!$B$246</definedName>
    <definedName name="R_cs">Variable_Management!$B$118</definedName>
    <definedName name="R_sl">Variable_Management!$B$119</definedName>
    <definedName name="RCOMP">Variable_Management!$B$236</definedName>
    <definedName name="RCOMP_Calc">Variable_Management!$B$235</definedName>
    <definedName name="Rcomp_calc_CCM">Variable_Management!$B$206</definedName>
    <definedName name="RCOMP_CALC_DCM">Variable_Management!$B$227</definedName>
    <definedName name="Rcs_max">Variable_Management!$B$107</definedName>
    <definedName name="Rcs_w_sl">Variable_Management!$B$111</definedName>
    <definedName name="Rcs_wo_sl">Variable_Management!$B$108</definedName>
    <definedName name="Rdcr">Variable_Management!$B$46</definedName>
    <definedName name="RDS_on">Variable_Management!$B$250</definedName>
    <definedName name="Resr">Variable_Management!$B$145</definedName>
    <definedName name="RFBB">Variable_Management!$B$172</definedName>
    <definedName name="RFBB_calc">Variable_Management!$B$171</definedName>
    <definedName name="RFBT">Variable_Management!$B$170</definedName>
    <definedName name="Rgate">Variable_Management!$B$254</definedName>
    <definedName name="ROUT">Variable_Management!$B$15</definedName>
    <definedName name="Rsl_int">Constants!$B$26</definedName>
    <definedName name="RT">Variable_Management!$B$11</definedName>
    <definedName name="Ruvlo_bottom_calc">Variable_Management!$B$161</definedName>
    <definedName name="Ruvlo_top">Variable_Management!$B$160</definedName>
    <definedName name="Ruvlo_top_calc">Variable_Management!$B$159</definedName>
    <definedName name="SCH_1">Plot_Management_Sch!$B$2</definedName>
    <definedName name="Se_VINmin">Variable_Management!$B$191</definedName>
    <definedName name="Sn_VINmin">Variable_Management!$B$192</definedName>
    <definedName name="tf_sw">Variable_Management!$B$263</definedName>
    <definedName name="tr_sw">Variable_Management!$B$262</definedName>
    <definedName name="tss">Variable_Management!$B$150</definedName>
    <definedName name="UV_fall">Constants!$B$41</definedName>
    <definedName name="UV_I_hyst">Constants!$B$42</definedName>
    <definedName name="UV_rise">Constants!$B$40</definedName>
    <definedName name="Vcc">Constants!$B$45</definedName>
    <definedName name="Vcl">Constants!$B$27</definedName>
    <definedName name="VCrr">Variable_Management!$B$130</definedName>
    <definedName name="Vd_rect">Variable_Management!$B$245</definedName>
    <definedName name="VIN_33">Variable_Management!#REF!</definedName>
    <definedName name="VIN_max">Variable_Management!$B$9</definedName>
    <definedName name="VIN_min">Variable_Management!$B$7</definedName>
    <definedName name="VIN_nom">Variable_Management!$B$8</definedName>
    <definedName name="VIN_op_max">Constants!$B$52</definedName>
    <definedName name="VIN_op_min">Constants!$B$51</definedName>
    <definedName name="VIN_var">Loop_Modeling!$B$16</definedName>
    <definedName name="VOUT">Variable_Management!$B$13</definedName>
    <definedName name="Vout_rip_sel">Variable_Management!$B$140</definedName>
    <definedName name="Vref">Constants!$B$33</definedName>
    <definedName name="Vth">Variable_Management!$B$257</definedName>
    <definedName name="Vuvlo_off">Variable_Management!$B$155</definedName>
    <definedName name="Vuvlo_on">Variable_Management!$B$154</definedName>
    <definedName name="wp_lf">Loop_Modeling!$B$35</definedName>
    <definedName name="wp_lf_DCM">Loop_Modeling!$B$69</definedName>
    <definedName name="wp_lf_VINmin">Variable_Management!$B$180</definedName>
    <definedName name="wp0_ea">Loop_Modeling!$B$60</definedName>
    <definedName name="wp1_ea">Loop_Modeling!$B$61</definedName>
    <definedName name="wsl">Loop_Modeling!$B$47</definedName>
    <definedName name="wsl_VINmin">Variable_Management!$B$194</definedName>
    <definedName name="wz_ea">Loop_Modeling!$B$59</definedName>
    <definedName name="wz_esr">Loop_Modeling!$B$41</definedName>
    <definedName name="wz_esr_VINmin">Variable_Management!$B$183</definedName>
    <definedName name="wz_rhp">Loop_Modeling!$B$38</definedName>
    <definedName name="wz_RHP_VINmin">Variable_Management!$B$186</definedName>
    <definedName name="wz1_dcm">Loop_Modeling!$B$71</definedName>
    <definedName name="wz2_dcm">Loop_Modeling!$B$73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BMC-BCS</author>
  </authors>
  <commentList>
    <comment ref="A3" authorId="0">
      <text>
        <r>
          <rPr>
            <b/>
            <sz val="11"/>
            <color indexed="10"/>
            <rFont val="Tahoma"/>
            <charset val="134"/>
          </rPr>
          <t>Welcome to the LM34x8 Design Tool</t>
        </r>
        <r>
          <rPr>
            <sz val="9"/>
            <rFont val="Tahoma"/>
            <charset val="134"/>
          </rPr>
          <t xml:space="preserve">
This stand-alone tool facilitates and assists the power supply engineer with design of a DC-DC boost converter based on the LM34x8 SEPIC controller. As such, the user can expeditiously arrive at an optimized design by virtue of the following:
- Select components
- Optimize compensation values and pole/zero placement in terms of control loop stability using crossover frquency as a performance metric
- Inspect regulator efficiency and component power dissipation
- Analyze efficiency based on selected MOSFET, inductor and diode parameters
IMPORTANT: You must enable macros if Microsoft Excel asks as the file is being opened. U.S. English notation is used throughout. Make sure to input or select values in all of the yellow shaded cells even if a value already exists in that cell. Do not over write equations in cells, as this may result in calculation errors.
</t>
        </r>
      </text>
    </comment>
    <comment ref="G7" authorId="0">
      <text>
        <r>
          <rPr>
            <b/>
            <sz val="9"/>
            <rFont val="Tahoma"/>
            <charset val="134"/>
          </rPr>
          <t xml:space="preserve">Minimum Input Voltage:
</t>
        </r>
        <r>
          <rPr>
            <sz val="9"/>
            <rFont val="Tahoma"/>
            <charset val="134"/>
          </rPr>
          <t xml:space="preserve">Enter the minimum operating input voltage.
The LM34x8 VIN pin voltage operating range is 2.97V to 40V.
</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40V
-The input voltage is below 2.97V</t>
        </r>
      </text>
    </comment>
    <comment ref="G8" authorId="0">
      <text>
        <r>
          <rPr>
            <b/>
            <sz val="9"/>
            <rFont val="Tahoma"/>
            <charset val="134"/>
          </rPr>
          <t xml:space="preserve">Nominal Input Voltage:
</t>
        </r>
        <r>
          <rPr>
            <sz val="9"/>
            <rFont val="Tahoma"/>
            <charset val="134"/>
          </rPr>
          <t>Enter the nominal operating input voltage.
The LM34x8 input voltage operating range is 2.97V to 40V.</t>
        </r>
        <r>
          <rPr>
            <b/>
            <sz val="9"/>
            <rFont val="Tahoma"/>
            <charset val="134"/>
          </rPr>
          <t xml:space="preserve">
</t>
        </r>
        <r>
          <rPr>
            <b/>
            <sz val="9"/>
            <color indexed="10"/>
            <rFont val="Tahoma"/>
            <charset val="134"/>
          </rPr>
          <t>The text in the cell is flagged red if:</t>
        </r>
        <r>
          <rPr>
            <b/>
            <sz val="9"/>
            <rFont val="Tahoma"/>
            <charset val="134"/>
          </rPr>
          <t xml:space="preserve">
</t>
        </r>
        <r>
          <rPr>
            <sz val="9"/>
            <rFont val="Tahoma"/>
            <charset val="134"/>
          </rPr>
          <t>-The input voltage is above V</t>
        </r>
        <r>
          <rPr>
            <vertAlign val="subscript"/>
            <sz val="9"/>
            <rFont val="Tahoma"/>
            <charset val="134"/>
          </rPr>
          <t>SUPPLY</t>
        </r>
        <r>
          <rPr>
            <sz val="9"/>
            <rFont val="Tahoma"/>
            <charset val="134"/>
          </rPr>
          <t>(max)
-The input voltage is below V</t>
        </r>
        <r>
          <rPr>
            <vertAlign val="subscript"/>
            <sz val="9"/>
            <rFont val="Tahoma"/>
            <charset val="134"/>
          </rPr>
          <t>SUPPLY</t>
        </r>
        <r>
          <rPr>
            <sz val="9"/>
            <rFont val="Tahoma"/>
            <charset val="134"/>
          </rPr>
          <t>(min)</t>
        </r>
      </text>
    </comment>
    <comment ref="G9" authorId="0">
      <text>
        <r>
          <rPr>
            <b/>
            <sz val="9"/>
            <rFont val="Tahoma"/>
            <charset val="134"/>
          </rPr>
          <t>Maximum Input Voltage:</t>
        </r>
        <r>
          <rPr>
            <sz val="9"/>
            <rFont val="Tahoma"/>
            <charset val="134"/>
          </rPr>
          <t xml:space="preserve">
Enter the maximum operating input voltage.
The LM34x8 input voltage operating range is 2.97V to 40V.
</t>
        </r>
        <r>
          <rPr>
            <b/>
            <sz val="9"/>
            <color indexed="10"/>
            <rFont val="Tahoma"/>
            <charset val="134"/>
          </rPr>
          <t xml:space="preserve">
The text in the cell is flagged red if:</t>
        </r>
        <r>
          <rPr>
            <sz val="9"/>
            <rFont val="Tahoma"/>
            <charset val="134"/>
          </rPr>
          <t xml:space="preserve">
-The input voltage is above 40V
-The input voltage is below 2.97V</t>
        </r>
      </text>
    </comment>
    <comment ref="G10" authorId="0">
      <text>
        <r>
          <rPr>
            <b/>
            <sz val="9"/>
            <rFont val="Tahoma"/>
            <charset val="134"/>
          </rPr>
          <t>Output Voltage:</t>
        </r>
        <r>
          <rPr>
            <sz val="9"/>
            <rFont val="Tahoma"/>
            <charset val="134"/>
          </rPr>
          <t xml:space="preserve">
Enter the desired output voltage.
</t>
        </r>
      </text>
    </comment>
    <comment ref="G12" authorId="0">
      <text>
        <r>
          <rPr>
            <b/>
            <sz val="9"/>
            <rFont val="Tahoma"/>
            <charset val="134"/>
          </rPr>
          <t>Operating Frequency (set by FA/SD):</t>
        </r>
        <r>
          <rPr>
            <sz val="9"/>
            <rFont val="Tahoma"/>
            <charset val="134"/>
          </rPr>
          <t xml:space="preserve">
This cell defines the free-running switching frequency set by the RT resistor. 
</t>
        </r>
        <r>
          <rPr>
            <sz val="11"/>
            <color indexed="10"/>
            <rFont val="Calibri"/>
            <scheme val="minor"/>
            <charset val="0"/>
          </rPr>
          <t>The text in the cell is flagged red if:</t>
        </r>
        <r>
          <rPr>
            <sz val="9"/>
            <rFont val="Tahoma"/>
            <charset val="134"/>
          </rPr>
          <t xml:space="preserve">
-The frequency is below 100 kHz
-The frequency is above 1 MHz</t>
        </r>
      </text>
    </comment>
    <comment ref="G15" authorId="0">
      <text>
        <r>
          <rPr>
            <b/>
            <sz val="9"/>
            <rFont val="Tahoma"/>
            <charset val="134"/>
          </rPr>
          <t xml:space="preserve">Maximum duty cycle
</t>
        </r>
        <r>
          <rPr>
            <sz val="9"/>
            <rFont val="Tahoma"/>
            <charset val="134"/>
          </rPr>
          <t xml:space="preserve">The LM3478-88 has a maximum duty cycle of 100%.
The limits for the maximum duty cycle can not be specified since the part does not permit less than 100% maximum duty cycle operation
</t>
        </r>
      </text>
    </comment>
    <comment ref="G16" authorId="0">
      <text>
        <r>
          <rPr>
            <sz val="9"/>
            <color indexed="10"/>
            <rFont val="Tahoma"/>
            <charset val="134"/>
          </rPr>
          <t xml:space="preserve">
</t>
        </r>
        <r>
          <rPr>
            <b/>
            <sz val="9"/>
            <color indexed="10"/>
            <rFont val="Tahoma"/>
            <charset val="134"/>
          </rPr>
          <t>The text in the cell is flagged red if:</t>
        </r>
        <r>
          <rPr>
            <sz val="9"/>
            <rFont val="Tahoma"/>
            <charset val="134"/>
          </rPr>
          <t xml:space="preserve">
</t>
        </r>
        <r>
          <rPr>
            <b/>
            <sz val="9"/>
            <rFont val="Tahoma"/>
            <charset val="134"/>
          </rPr>
          <t>- Duty CCM duty cycle for the step up ratio is greater then the duty cycle limit of the LM34x8. For high step-up ratio designs the regulator can be configured to operate in discontinous conduction mode (DCM) to achieve the step up ratio.</t>
        </r>
      </text>
    </comment>
    <comment ref="G19" authorId="0">
      <text>
        <r>
          <rPr>
            <b/>
            <sz val="9"/>
            <rFont val="Tahoma"/>
            <charset val="134"/>
          </rPr>
          <t>CCM-DCM:</t>
        </r>
        <r>
          <rPr>
            <sz val="9"/>
            <rFont val="Tahoma"/>
            <charset val="134"/>
          </rPr>
          <t xml:space="preserve">
CCM = Continous Conduction Mode
DCM  = Discontinous Conduction Mode</t>
        </r>
      </text>
    </comment>
    <comment ref="G20" authorId="0">
      <text>
        <r>
          <rPr>
            <b/>
            <sz val="9"/>
            <rFont val="Tahoma"/>
            <charset val="134"/>
          </rPr>
          <t>Ripple Ratio</t>
        </r>
        <r>
          <rPr>
            <sz val="9"/>
            <rFont val="Tahoma"/>
            <charset val="134"/>
          </rPr>
          <t xml:space="preserve">
Select the maximum ripple ratio of the inductor current. The maximum ripple ratio occurs when the duty cycle is 33%. 
Typically a good maximum ripple current is in the 50% to 70% range. In this range there is a good trade off between efficiency and the minimum RHP zero frequency of the plant
If cell H19 is equal to 1, this input cell is not condsidered as DCM operation is required to achieve the desired ste-up ratio. For the case the maximum duty cycyle is set to be 70%.</t>
        </r>
      </text>
    </comment>
    <comment ref="G22" authorId="0">
      <text>
        <r>
          <rPr>
            <b/>
            <sz val="9"/>
            <rFont val="Tahoma"/>
            <charset val="134"/>
          </rPr>
          <t xml:space="preserve">Filter Inductance:
</t>
        </r>
        <r>
          <rPr>
            <sz val="9"/>
            <rFont val="Tahoma"/>
            <charset val="134"/>
          </rPr>
          <t xml:space="preserve">Enter the filter inductance here.
</t>
        </r>
      </text>
    </comment>
    <comment ref="G23" authorId="0">
      <text>
        <r>
          <rPr>
            <b/>
            <sz val="9"/>
            <rFont val="Tahoma"/>
            <charset val="134"/>
          </rPr>
          <t>Peak Inductor Current</t>
        </r>
        <r>
          <rPr>
            <sz val="9"/>
            <rFont val="Tahoma"/>
            <charset val="134"/>
          </rPr>
          <t xml:space="preserve">
Maximum peak inductor current during normal operation.  The peak current limit calculations are based on this value</t>
        </r>
      </text>
    </comment>
    <comment ref="G26" authorId="0">
      <text>
        <r>
          <rPr>
            <b/>
            <sz val="9"/>
            <rFont val="Tahoma"/>
            <charset val="134"/>
          </rPr>
          <t>Peak Current Limit Margin</t>
        </r>
        <r>
          <rPr>
            <sz val="9"/>
            <rFont val="Tahoma"/>
            <charset val="134"/>
          </rPr>
          <t xml:space="preserve">
Minimum value is 15%
Margin above the calculated peak inductor current. Margin must be given to allow for load transients and component tolerances.</t>
        </r>
      </text>
    </comment>
    <comment ref="G27" authorId="0">
      <text>
        <r>
          <rPr>
            <b/>
            <sz val="9"/>
            <rFont val="Tahoma"/>
            <charset val="134"/>
          </rPr>
          <t xml:space="preserve">Selected Peak Inductor Current Limt
</t>
        </r>
        <r>
          <rPr>
            <sz val="9"/>
            <rFont val="Tahoma"/>
            <charset val="134"/>
          </rPr>
          <t xml:space="preserve">
Peak inductor current limit based on the margin and the steady state peak inductor current at V</t>
        </r>
        <r>
          <rPr>
            <vertAlign val="subscript"/>
            <sz val="9"/>
            <rFont val="Tahoma"/>
            <charset val="134"/>
          </rPr>
          <t>IN_MIN</t>
        </r>
        <r>
          <rPr>
            <sz val="9"/>
            <rFont val="Tahoma"/>
            <charset val="134"/>
          </rPr>
          <t xml:space="preserve"> and maximum output current</t>
        </r>
      </text>
    </comment>
    <comment ref="G28" authorId="0">
      <text>
        <r>
          <rPr>
            <b/>
            <sz val="9"/>
            <rFont val="Tahoma"/>
            <charset val="134"/>
          </rPr>
          <t>Current Sense Resistor Calculation</t>
        </r>
        <r>
          <rPr>
            <sz val="9"/>
            <rFont val="Tahoma"/>
            <charset val="134"/>
          </rPr>
          <t xml:space="preserve">
Calculated current sense resistor based on the desired maximum peak current limit. 
</t>
        </r>
      </text>
    </comment>
    <comment ref="G40" authorId="0">
      <text>
        <r>
          <rPr>
            <sz val="11"/>
            <rFont val="Tahoma"/>
            <charset val="134"/>
          </rPr>
          <t>This is the desired load transient output voltage dip for the a 50% to 100% load step on the output.</t>
        </r>
        <r>
          <rPr>
            <sz val="9"/>
            <rFont val="Tahoma"/>
            <charset val="134"/>
          </rPr>
          <t xml:space="preserve">
</t>
        </r>
      </text>
    </comment>
    <comment ref="G59" authorId="0">
      <text>
        <r>
          <rPr>
            <b/>
            <sz val="9"/>
            <rFont val="Tahoma"/>
            <charset val="134"/>
          </rPr>
          <t xml:space="preserve">Changes the input voltage value. Allow for evaluation of the control loop ane efficiency at different input voltages.
</t>
        </r>
        <r>
          <rPr>
            <b/>
            <sz val="9"/>
            <color indexed="10"/>
            <rFont val="Tahoma"/>
            <charset val="134"/>
          </rPr>
          <t>The text in the cell is flagged red if:
-The variable input voltage is less than the minimum input voltage
-The variable input voltage is greater than the maximum input voltage</t>
        </r>
      </text>
    </comment>
  </commentList>
</comments>
</file>

<file path=xl/comments2.xml><?xml version="1.0" encoding="utf-8"?>
<comments xmlns="http://schemas.openxmlformats.org/spreadsheetml/2006/main">
  <authors>
    <author>BMC-BCS</author>
  </authors>
  <commentList>
    <comment ref="B21" authorId="0">
      <text>
        <r>
          <rPr>
            <b/>
            <sz val="9"/>
            <rFont val="Tahoma"/>
            <charset val="134"/>
          </rPr>
          <t xml:space="preserve">Forced off time limit? 
[1 True, 0 False]
Just comparing the maximum duty cycle of the IC and the ideal duty cycle of the step up ratio
</t>
        </r>
        <r>
          <rPr>
            <sz val="9"/>
            <rFont val="Tahoma"/>
            <charset val="134"/>
          </rPr>
          <t xml:space="preserve">
</t>
        </r>
      </text>
    </comment>
    <comment ref="K121" authorId="0">
      <text>
        <r>
          <rPr>
            <b/>
            <sz val="9"/>
            <rFont val="Tahoma"/>
            <charset val="134"/>
          </rPr>
          <t xml:space="preserve">Slope Compensation flag. If this flag is tripped there is not enough slope compensation. Double check the calculated values. 
</t>
        </r>
        <r>
          <rPr>
            <sz val="9"/>
            <rFont val="Tahoma"/>
            <charset val="134"/>
          </rPr>
          <t xml:space="preserve">
</t>
        </r>
      </text>
    </comment>
    <comment ref="K122" authorId="0">
      <text>
        <r>
          <rPr>
            <sz val="9"/>
            <rFont val="Tahoma"/>
            <charset val="134"/>
          </rPr>
          <t xml:space="preserve">Tripped if the current sense resistor results in a lower current limit
</t>
        </r>
      </text>
    </comment>
  </commentList>
</comments>
</file>

<file path=xl/comments3.xml><?xml version="1.0" encoding="utf-8"?>
<comments xmlns="http://schemas.openxmlformats.org/spreadsheetml/2006/main">
  <authors>
    <author>BMC-BCS</author>
  </authors>
  <commentList>
    <comment ref="V6" authorId="0">
      <text>
        <r>
          <rPr>
            <b/>
            <sz val="9"/>
            <rFont val="Tahoma"/>
            <charset val="134"/>
          </rPr>
          <t xml:space="preserve">1 = DCM operation
2 = CCM operation
</t>
        </r>
      </text>
    </comment>
    <comment ref="AG6" authorId="0">
      <text>
        <r>
          <rPr>
            <b/>
            <sz val="9"/>
            <rFont val="Tahoma"/>
            <charset val="134"/>
          </rPr>
          <t>BMC-BCS:</t>
        </r>
        <r>
          <rPr>
            <sz val="9"/>
            <rFont val="Tahoma"/>
            <charset val="134"/>
          </rPr>
          <t xml:space="preserve">
Estimating uisng Average current. Needs to be updated for RMS current
</t>
        </r>
      </text>
    </comment>
    <comment ref="AK6" authorId="0">
      <text>
        <r>
          <rPr>
            <b/>
            <sz val="9"/>
            <rFont val="Tahoma"/>
            <charset val="134"/>
          </rPr>
          <t>BMC-BCS:</t>
        </r>
        <r>
          <rPr>
            <sz val="9"/>
            <rFont val="Tahoma"/>
            <charset val="134"/>
          </rPr>
          <t xml:space="preserve">
Written for boost. Needs to be updated but no big rush
</t>
        </r>
      </text>
    </comment>
  </commentList>
</comments>
</file>

<file path=xl/comments4.xml><?xml version="1.0" encoding="utf-8"?>
<comments xmlns="http://schemas.openxmlformats.org/spreadsheetml/2006/main">
  <authors>
    <author>BMC-BCS</author>
  </authors>
  <commentList>
    <comment ref="O18" authorId="0">
      <text>
        <r>
          <rPr>
            <b/>
            <sz val="9"/>
            <rFont val="Tahoma"/>
            <charset val="134"/>
          </rPr>
          <t>BMC-BCS:</t>
        </r>
        <r>
          <rPr>
            <sz val="9"/>
            <rFont val="Tahoma"/>
            <charset val="134"/>
          </rPr>
          <t xml:space="preserve">
Need to make this log not linear at some point
</t>
        </r>
      </text>
    </comment>
  </commentList>
</comments>
</file>

<file path=xl/sharedStrings.xml><?xml version="1.0" encoding="utf-8"?>
<sst xmlns="http://schemas.openxmlformats.org/spreadsheetml/2006/main" count="983" uniqueCount="574">
  <si>
    <t>LM3478-88 DC/DC Coupled Inductor SEPIC Controller Design Tool</t>
  </si>
  <si>
    <t>ABOUT</t>
  </si>
  <si>
    <t>=Input Box</t>
  </si>
  <si>
    <t>TERMS OF USE</t>
  </si>
  <si>
    <t>October-2024</t>
  </si>
  <si>
    <t>Step 1: Design Specifications</t>
  </si>
  <si>
    <r>
      <rPr>
        <sz val="10"/>
        <color theme="1"/>
        <rFont val="Calibri"/>
        <charset val="134"/>
        <scheme val="minor"/>
      </rPr>
      <t>Minimum Input Supply Voltage , V</t>
    </r>
    <r>
      <rPr>
        <vertAlign val="subscript"/>
        <sz val="10"/>
        <color theme="1"/>
        <rFont val="Calibri"/>
        <charset val="134"/>
        <scheme val="minor"/>
      </rPr>
      <t>SUPPLY(min)</t>
    </r>
    <r>
      <rPr>
        <sz val="10"/>
        <color theme="1"/>
        <rFont val="Calibri"/>
        <charset val="134"/>
        <scheme val="minor"/>
      </rPr>
      <t xml:space="preserve"> </t>
    </r>
  </si>
  <si>
    <t>V</t>
  </si>
  <si>
    <r>
      <rPr>
        <sz val="10"/>
        <color theme="1"/>
        <rFont val="Calibri"/>
        <charset val="134"/>
        <scheme val="minor"/>
      </rPr>
      <t>Typical Input Supply Voltage, V</t>
    </r>
    <r>
      <rPr>
        <vertAlign val="subscript"/>
        <sz val="10"/>
        <color theme="1"/>
        <rFont val="Calibri"/>
        <charset val="134"/>
        <scheme val="minor"/>
      </rPr>
      <t>SUPPLY(typ)</t>
    </r>
    <r>
      <rPr>
        <sz val="10"/>
        <color theme="1"/>
        <rFont val="Calibri"/>
        <charset val="134"/>
        <scheme val="minor"/>
      </rPr>
      <t xml:space="preserve"> </t>
    </r>
  </si>
  <si>
    <r>
      <rPr>
        <sz val="10"/>
        <color theme="1"/>
        <rFont val="Calibri"/>
        <charset val="134"/>
        <scheme val="minor"/>
      </rPr>
      <t>Maximum Input Supply Voltage , V</t>
    </r>
    <r>
      <rPr>
        <vertAlign val="subscript"/>
        <sz val="10"/>
        <color theme="1"/>
        <rFont val="Calibri"/>
        <charset val="134"/>
        <scheme val="minor"/>
      </rPr>
      <t>SUPPLY(max)</t>
    </r>
    <r>
      <rPr>
        <sz val="10"/>
        <color theme="1"/>
        <rFont val="Calibri"/>
        <charset val="134"/>
        <scheme val="minor"/>
      </rPr>
      <t xml:space="preserve"> </t>
    </r>
  </si>
  <si>
    <r>
      <rPr>
        <sz val="10"/>
        <color theme="1"/>
        <rFont val="Calibri"/>
        <charset val="134"/>
        <scheme val="minor"/>
      </rPr>
      <t>Output Target Voltage, V</t>
    </r>
    <r>
      <rPr>
        <vertAlign val="subscript"/>
        <sz val="10"/>
        <color theme="1"/>
        <rFont val="Calibri"/>
        <charset val="134"/>
        <scheme val="minor"/>
      </rPr>
      <t>LOAD</t>
    </r>
    <r>
      <rPr>
        <sz val="10"/>
        <color theme="1"/>
        <rFont val="Calibri"/>
        <charset val="134"/>
        <scheme val="minor"/>
      </rPr>
      <t xml:space="preserve"> </t>
    </r>
  </si>
  <si>
    <r>
      <rPr>
        <sz val="10"/>
        <color theme="1"/>
        <rFont val="Calibri"/>
        <charset val="134"/>
        <scheme val="minor"/>
      </rPr>
      <t>Maximum Output Current , I</t>
    </r>
    <r>
      <rPr>
        <vertAlign val="subscript"/>
        <sz val="10"/>
        <color theme="1"/>
        <rFont val="Calibri"/>
        <charset val="134"/>
        <scheme val="minor"/>
      </rPr>
      <t>LOAD</t>
    </r>
    <r>
      <rPr>
        <sz val="10"/>
        <color theme="1"/>
        <rFont val="Calibri"/>
        <charset val="134"/>
        <scheme val="minor"/>
      </rPr>
      <t xml:space="preserve"> </t>
    </r>
  </si>
  <si>
    <t>A</t>
  </si>
  <si>
    <r>
      <rPr>
        <sz val="10"/>
        <color theme="1"/>
        <rFont val="Calibri"/>
        <charset val="134"/>
        <scheme val="minor"/>
      </rPr>
      <t>Free Running Switching Frequency, F</t>
    </r>
    <r>
      <rPr>
        <vertAlign val="subscript"/>
        <sz val="10"/>
        <color theme="1"/>
        <rFont val="Calibri"/>
        <charset val="134"/>
        <scheme val="minor"/>
      </rPr>
      <t>SW</t>
    </r>
  </si>
  <si>
    <t>kHz</t>
  </si>
  <si>
    <r>
      <rPr>
        <sz val="10"/>
        <color theme="1"/>
        <rFont val="Calibri"/>
        <charset val="134"/>
        <scheme val="minor"/>
      </rPr>
      <t>Free running Oscillator Set Resistor, R</t>
    </r>
    <r>
      <rPr>
        <vertAlign val="subscript"/>
        <sz val="10"/>
        <color theme="1"/>
        <rFont val="Calibri"/>
        <charset val="134"/>
        <scheme val="minor"/>
      </rPr>
      <t>T</t>
    </r>
  </si>
  <si>
    <r>
      <rPr>
        <sz val="11"/>
        <color theme="1"/>
        <rFont val="Calibri"/>
        <charset val="134"/>
        <scheme val="minor"/>
      </rPr>
      <t>k</t>
    </r>
    <r>
      <rPr>
        <sz val="11"/>
        <color theme="1"/>
        <rFont val="Calibri"/>
        <charset val="134"/>
      </rPr>
      <t>Ω</t>
    </r>
  </si>
  <si>
    <r>
      <rPr>
        <sz val="10"/>
        <color theme="1"/>
        <rFont val="Calibri"/>
        <charset val="134"/>
        <scheme val="minor"/>
      </rPr>
      <t>Output Power, P</t>
    </r>
    <r>
      <rPr>
        <vertAlign val="subscript"/>
        <sz val="10"/>
        <color theme="1"/>
        <rFont val="Calibri"/>
        <charset val="134"/>
        <scheme val="minor"/>
      </rPr>
      <t>OUT</t>
    </r>
    <r>
      <rPr>
        <sz val="10"/>
        <color theme="1"/>
        <rFont val="Calibri"/>
        <charset val="134"/>
        <scheme val="minor"/>
      </rPr>
      <t xml:space="preserve"> </t>
    </r>
  </si>
  <si>
    <t>W</t>
  </si>
  <si>
    <r>
      <rPr>
        <sz val="10"/>
        <color theme="1"/>
        <rFont val="Calibri"/>
        <charset val="134"/>
        <scheme val="minor"/>
      </rPr>
      <t>Recommended maximum duty cycle LM3478-88 at V</t>
    </r>
    <r>
      <rPr>
        <vertAlign val="subscript"/>
        <sz val="10"/>
        <color theme="1"/>
        <rFont val="Calibri"/>
        <charset val="134"/>
        <scheme val="minor"/>
      </rPr>
      <t>SUPPLY(MIN)</t>
    </r>
  </si>
  <si>
    <t>%</t>
  </si>
  <si>
    <r>
      <rPr>
        <sz val="10"/>
        <color theme="1"/>
        <rFont val="Calibri"/>
        <charset val="134"/>
        <scheme val="minor"/>
      </rPr>
      <t>Ideal Duty Cycle at V</t>
    </r>
    <r>
      <rPr>
        <vertAlign val="subscript"/>
        <sz val="10"/>
        <color theme="1"/>
        <rFont val="Calibri"/>
        <charset val="134"/>
        <scheme val="minor"/>
      </rPr>
      <t xml:space="preserve">SUPPLY(MIN) </t>
    </r>
  </si>
  <si>
    <t>Step 2: Filter Inductor</t>
  </si>
  <si>
    <t>Required Mode of Operation:</t>
  </si>
  <si>
    <r>
      <rPr>
        <sz val="10"/>
        <color theme="1"/>
        <rFont val="Calibri"/>
        <charset val="134"/>
        <scheme val="minor"/>
      </rPr>
      <t>Desired Maximum Inductor Current Ripple Ratio (I</t>
    </r>
    <r>
      <rPr>
        <vertAlign val="subscript"/>
        <sz val="10"/>
        <color theme="1"/>
        <rFont val="Calibri"/>
        <charset val="134"/>
        <scheme val="minor"/>
      </rPr>
      <t>RR_MAX</t>
    </r>
    <r>
      <rPr>
        <sz val="10"/>
        <color theme="1"/>
        <rFont val="Calibri"/>
        <charset val="134"/>
        <scheme val="minor"/>
      </rPr>
      <t>)</t>
    </r>
  </si>
  <si>
    <r>
      <rPr>
        <sz val="10"/>
        <color theme="1"/>
        <rFont val="Calibri"/>
        <charset val="134"/>
        <scheme val="minor"/>
      </rPr>
      <t>Recommended Inductance (L</t>
    </r>
    <r>
      <rPr>
        <vertAlign val="subscript"/>
        <sz val="10"/>
        <color theme="1"/>
        <rFont val="Calibri"/>
        <charset val="134"/>
        <scheme val="minor"/>
      </rPr>
      <t>M_CALC</t>
    </r>
    <r>
      <rPr>
        <sz val="10"/>
        <color theme="1"/>
        <rFont val="Calibri"/>
        <charset val="134"/>
        <scheme val="minor"/>
      </rPr>
      <t>)</t>
    </r>
  </si>
  <si>
    <t>uH</t>
  </si>
  <si>
    <r>
      <rPr>
        <sz val="10"/>
        <color theme="1"/>
        <rFont val="Calibri"/>
        <charset val="134"/>
        <scheme val="minor"/>
      </rPr>
      <t>User Selection. Inductance, (L</t>
    </r>
    <r>
      <rPr>
        <vertAlign val="subscript"/>
        <sz val="10"/>
        <color theme="1"/>
        <rFont val="Calibri"/>
        <charset val="134"/>
        <scheme val="minor"/>
      </rPr>
      <t>M</t>
    </r>
    <r>
      <rPr>
        <sz val="10"/>
        <color theme="1"/>
        <rFont val="Calibri"/>
        <charset val="134"/>
        <scheme val="minor"/>
      </rPr>
      <t>)</t>
    </r>
  </si>
  <si>
    <r>
      <rPr>
        <sz val="10"/>
        <color theme="1"/>
        <rFont val="Calibri"/>
        <charset val="134"/>
        <scheme val="minor"/>
      </rPr>
      <t>Peak inductor current, IL</t>
    </r>
    <r>
      <rPr>
        <vertAlign val="subscript"/>
        <sz val="10"/>
        <color theme="1"/>
        <rFont val="Calibri"/>
        <charset val="134"/>
        <scheme val="minor"/>
      </rPr>
      <t>PK</t>
    </r>
  </si>
  <si>
    <t>Step 3: Current Sense Resistor Selection</t>
  </si>
  <si>
    <t>Peak Current Limit Margin</t>
  </si>
  <si>
    <r>
      <rPr>
        <sz val="11"/>
        <color theme="1"/>
        <rFont val="Calibri"/>
        <charset val="134"/>
        <scheme val="minor"/>
      </rPr>
      <t>Selected Peak Current limit (IL</t>
    </r>
    <r>
      <rPr>
        <vertAlign val="subscript"/>
        <sz val="11"/>
        <color theme="1"/>
        <rFont val="Calibri"/>
        <charset val="134"/>
        <scheme val="minor"/>
      </rPr>
      <t>SW_select</t>
    </r>
    <r>
      <rPr>
        <sz val="11"/>
        <color theme="1"/>
        <rFont val="Calibri"/>
        <charset val="134"/>
        <scheme val="minor"/>
      </rPr>
      <t>)</t>
    </r>
  </si>
  <si>
    <r>
      <rPr>
        <sz val="11"/>
        <color theme="1"/>
        <rFont val="Calibri"/>
        <charset val="134"/>
        <scheme val="minor"/>
      </rPr>
      <t>Recommended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</si>
  <si>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m</t>
    </r>
    <r>
      <rPr>
        <sz val="11"/>
        <color theme="1"/>
        <rFont val="Calibri"/>
        <charset val="134"/>
      </rPr>
      <t>Ω</t>
    </r>
  </si>
  <si>
    <r>
      <rPr>
        <sz val="11"/>
        <color theme="1"/>
        <rFont val="Calibri"/>
        <charset val="134"/>
        <scheme val="minor"/>
      </rPr>
      <t>Recommended external slope compensation Resistor (R</t>
    </r>
    <r>
      <rPr>
        <vertAlign val="subscript"/>
        <sz val="11"/>
        <color theme="1"/>
        <rFont val="Calibri"/>
        <charset val="134"/>
        <scheme val="minor"/>
      </rPr>
      <t>SL</t>
    </r>
    <r>
      <rPr>
        <sz val="11"/>
        <color theme="1"/>
        <rFont val="Calibri"/>
        <charset val="134"/>
        <scheme val="minor"/>
      </rPr>
      <t>)</t>
    </r>
  </si>
  <si>
    <t>Ω</t>
  </si>
  <si>
    <r>
      <rPr>
        <sz val="11"/>
        <color theme="1"/>
        <rFont val="Calibri"/>
        <charset val="134"/>
        <scheme val="minor"/>
      </rPr>
      <t>Selected current sense Resistor (R</t>
    </r>
    <r>
      <rPr>
        <vertAlign val="subscript"/>
        <sz val="11"/>
        <color theme="1"/>
        <rFont val="Calibri"/>
        <charset val="134"/>
        <scheme val="minor"/>
      </rPr>
      <t>S</t>
    </r>
    <r>
      <rPr>
        <sz val="11"/>
        <color theme="1"/>
        <rFont val="Calibri"/>
        <charset val="134"/>
        <scheme val="minor"/>
      </rPr>
      <t>)</t>
    </r>
  </si>
  <si>
    <r>
      <rPr>
        <sz val="11"/>
        <color theme="1"/>
        <rFont val="Calibri"/>
        <charset val="134"/>
        <scheme val="minor"/>
      </rPr>
      <t>Selected external slope compensation Resistor (R</t>
    </r>
    <r>
      <rPr>
        <vertAlign val="subscript"/>
        <sz val="11"/>
        <color theme="1"/>
        <rFont val="Calibri"/>
        <charset val="134"/>
        <scheme val="minor"/>
      </rPr>
      <t>SL</t>
    </r>
    <r>
      <rPr>
        <sz val="11"/>
        <color theme="1"/>
        <rFont val="Calibri"/>
        <charset val="134"/>
        <scheme val="minor"/>
      </rPr>
      <t>)</t>
    </r>
  </si>
  <si>
    <t>Actual switch peak current limit</t>
  </si>
  <si>
    <r>
      <rPr>
        <b/>
        <sz val="11"/>
        <color rgb="FF0070C0"/>
        <rFont val="Calibri"/>
        <charset val="134"/>
        <scheme val="minor"/>
      </rPr>
      <t>Step 4: C</t>
    </r>
    <r>
      <rPr>
        <b/>
        <vertAlign val="subscript"/>
        <sz val="11"/>
        <color rgb="FF0070C0"/>
        <rFont val="Calibri"/>
        <charset val="134"/>
        <scheme val="minor"/>
      </rPr>
      <t>AC</t>
    </r>
    <r>
      <rPr>
        <b/>
        <sz val="11"/>
        <color rgb="FF0070C0"/>
        <rFont val="Calibri"/>
        <charset val="134"/>
        <scheme val="minor"/>
      </rPr>
      <t xml:space="preserve"> Capacitor Selection</t>
    </r>
  </si>
  <si>
    <r>
      <rPr>
        <sz val="11"/>
        <color theme="1"/>
        <rFont val="Calibri"/>
        <charset val="134"/>
        <scheme val="minor"/>
      </rPr>
      <t>Minimum couplpling capacitor value (C</t>
    </r>
    <r>
      <rPr>
        <vertAlign val="subscript"/>
        <sz val="11"/>
        <color theme="1"/>
        <rFont val="Calibri"/>
        <charset val="134"/>
        <scheme val="minor"/>
      </rPr>
      <t>AC_min</t>
    </r>
    <r>
      <rPr>
        <sz val="11"/>
        <color theme="1"/>
        <rFont val="Calibri"/>
        <charset val="134"/>
        <scheme val="minor"/>
      </rPr>
      <t>)</t>
    </r>
  </si>
  <si>
    <t>uF</t>
  </si>
  <si>
    <r>
      <rPr>
        <sz val="11"/>
        <color theme="1"/>
        <rFont val="Calibri"/>
        <charset val="134"/>
        <scheme val="minor"/>
      </rPr>
      <t>Selected Coupling Capacitor (C</t>
    </r>
    <r>
      <rPr>
        <vertAlign val="subscript"/>
        <sz val="11"/>
        <color theme="1"/>
        <rFont val="Calibri"/>
        <charset val="134"/>
        <scheme val="minor"/>
      </rPr>
      <t>AC</t>
    </r>
    <r>
      <rPr>
        <sz val="11"/>
        <color theme="1"/>
        <rFont val="Calibri"/>
        <charset val="134"/>
        <scheme val="minor"/>
      </rPr>
      <t>)</t>
    </r>
  </si>
  <si>
    <r>
      <rPr>
        <sz val="11"/>
        <color theme="1"/>
        <rFont val="Calibri"/>
        <charset val="134"/>
        <scheme val="minor"/>
      </rPr>
      <t>Minimuum require C</t>
    </r>
    <r>
      <rPr>
        <vertAlign val="subscript"/>
        <sz val="11"/>
        <color theme="1"/>
        <rFont val="Calibri"/>
        <charset val="134"/>
        <scheme val="minor"/>
      </rPr>
      <t>AC</t>
    </r>
    <r>
      <rPr>
        <sz val="11"/>
        <color theme="1"/>
        <rFont val="Calibri"/>
        <charset val="134"/>
        <scheme val="minor"/>
      </rPr>
      <t xml:space="preserve"> RMS current Rating</t>
    </r>
  </si>
  <si>
    <t>Step 5: Output Capacitor Selection</t>
  </si>
  <si>
    <r>
      <rPr>
        <sz val="11"/>
        <color theme="1"/>
        <rFont val="Calibri"/>
        <charset val="134"/>
        <scheme val="minor"/>
      </rPr>
      <t>Desired load step ripple voltage (</t>
    </r>
    <r>
      <rPr>
        <sz val="11"/>
        <color theme="1"/>
        <rFont val="Calibri"/>
        <charset val="134"/>
      </rPr>
      <t>Δv</t>
    </r>
    <r>
      <rPr>
        <vertAlign val="subscript"/>
        <sz val="11"/>
        <color theme="1"/>
        <rFont val="Calibri"/>
        <charset val="134"/>
      </rPr>
      <t>OUT</t>
    </r>
    <r>
      <rPr>
        <sz val="11"/>
        <color theme="1"/>
        <rFont val="Calibri"/>
        <charset val="134"/>
      </rPr>
      <t>)</t>
    </r>
  </si>
  <si>
    <t>mV</t>
  </si>
  <si>
    <t xml:space="preserve">Minimum output capacitance </t>
  </si>
  <si>
    <r>
      <rPr>
        <sz val="11"/>
        <color theme="1"/>
        <rFont val="Calibri"/>
        <charset val="134"/>
        <scheme val="minor"/>
      </rPr>
      <t>Capacitor RMS current (I</t>
    </r>
    <r>
      <rPr>
        <vertAlign val="subscript"/>
        <sz val="11"/>
        <color theme="1"/>
        <rFont val="Calibri"/>
        <charset val="134"/>
        <scheme val="minor"/>
      </rPr>
      <t>RMS_COUT</t>
    </r>
    <r>
      <rPr>
        <sz val="11"/>
        <color theme="1"/>
        <rFont val="Calibri"/>
        <charset val="134"/>
        <scheme val="minor"/>
      </rPr>
      <t>)</t>
    </r>
  </si>
  <si>
    <r>
      <rPr>
        <sz val="11"/>
        <color theme="1"/>
        <rFont val="Calibri"/>
        <charset val="134"/>
        <scheme val="minor"/>
      </rPr>
      <t>Selected Output Capacitance (C</t>
    </r>
    <r>
      <rPr>
        <vertAlign val="subscript"/>
        <sz val="11"/>
        <color theme="1"/>
        <rFont val="Calibri"/>
        <charset val="134"/>
        <scheme val="minor"/>
      </rPr>
      <t>OUT</t>
    </r>
    <r>
      <rPr>
        <sz val="11"/>
        <color theme="1"/>
        <rFont val="Calibri"/>
        <charset val="134"/>
        <scheme val="minor"/>
      </rPr>
      <t>)</t>
    </r>
  </si>
  <si>
    <r>
      <rPr>
        <sz val="11"/>
        <color theme="1"/>
        <rFont val="Calibri"/>
        <charset val="134"/>
        <scheme val="minor"/>
      </rPr>
      <t>Equivalent  COUT ESR (R</t>
    </r>
    <r>
      <rPr>
        <vertAlign val="subscript"/>
        <sz val="11"/>
        <color theme="1"/>
        <rFont val="Calibri"/>
        <charset val="134"/>
        <scheme val="minor"/>
      </rPr>
      <t>ESR</t>
    </r>
    <r>
      <rPr>
        <sz val="11"/>
        <color theme="1"/>
        <rFont val="Calibri"/>
        <charset val="134"/>
        <scheme val="minor"/>
      </rPr>
      <t>)</t>
    </r>
  </si>
  <si>
    <t>Step  6: Loop Compensation</t>
  </si>
  <si>
    <r>
      <rPr>
        <sz val="11"/>
        <rFont val="Calibri"/>
        <charset val="134"/>
        <scheme val="minor"/>
      </rPr>
      <t>Voltage selected (V</t>
    </r>
    <r>
      <rPr>
        <vertAlign val="subscript"/>
        <sz val="11"/>
        <rFont val="Calibri"/>
        <charset val="134"/>
        <scheme val="minor"/>
      </rPr>
      <t>IN_VAR</t>
    </r>
    <r>
      <rPr>
        <sz val="11"/>
        <rFont val="Calibri"/>
        <charset val="134"/>
        <scheme val="minor"/>
      </rPr>
      <t>)</t>
    </r>
  </si>
  <si>
    <t>Feedback Resistor Selection</t>
  </si>
  <si>
    <r>
      <rPr>
        <sz val="11"/>
        <color theme="1"/>
        <rFont val="Calibri"/>
        <charset val="134"/>
        <scheme val="minor"/>
      </rPr>
      <t>Select a top feedback resistor(R</t>
    </r>
    <r>
      <rPr>
        <vertAlign val="subscript"/>
        <sz val="11"/>
        <color theme="1"/>
        <rFont val="Calibri"/>
        <charset val="134"/>
        <scheme val="minor"/>
      </rPr>
      <t>FBT</t>
    </r>
    <r>
      <rPr>
        <sz val="11"/>
        <color theme="1"/>
        <rFont val="Calibri"/>
        <charset val="134"/>
        <scheme val="minor"/>
      </rPr>
      <t>)</t>
    </r>
  </si>
  <si>
    <t>kΩ</t>
  </si>
  <si>
    <r>
      <rPr>
        <sz val="11"/>
        <color theme="1"/>
        <rFont val="Calibri"/>
        <charset val="134"/>
        <scheme val="minor"/>
      </rPr>
      <t>Calculated bottom feedback resistor (R</t>
    </r>
    <r>
      <rPr>
        <vertAlign val="subscript"/>
        <sz val="11"/>
        <color theme="1"/>
        <rFont val="Calibri"/>
        <charset val="134"/>
        <scheme val="minor"/>
      </rPr>
      <t>FBB_cala</t>
    </r>
    <r>
      <rPr>
        <sz val="11"/>
        <color theme="1"/>
        <rFont val="Calibri"/>
        <charset val="134"/>
        <scheme val="minor"/>
      </rPr>
      <t>)</t>
    </r>
  </si>
  <si>
    <r>
      <rPr>
        <sz val="11"/>
        <color theme="1"/>
        <rFont val="Calibri"/>
        <charset val="134"/>
        <scheme val="minor"/>
      </rPr>
      <t>Select a bottomresistor based on calculated balue(R</t>
    </r>
    <r>
      <rPr>
        <vertAlign val="subscript"/>
        <sz val="11"/>
        <color theme="1"/>
        <rFont val="Calibri"/>
        <charset val="134"/>
        <scheme val="minor"/>
      </rPr>
      <t>FBB</t>
    </r>
    <r>
      <rPr>
        <sz val="11"/>
        <color theme="1"/>
        <rFont val="Calibri"/>
        <charset val="134"/>
        <scheme val="minor"/>
      </rPr>
      <t>)</t>
    </r>
  </si>
  <si>
    <t>Suggested bandwidth</t>
  </si>
  <si>
    <r>
      <rPr>
        <sz val="11"/>
        <color theme="1"/>
        <rFont val="Calibri"/>
        <charset val="134"/>
        <scheme val="minor"/>
      </rPr>
      <t>Selected band width (F</t>
    </r>
    <r>
      <rPr>
        <vertAlign val="subscript"/>
        <sz val="11"/>
        <color theme="1"/>
        <rFont val="Calibri"/>
        <charset val="134"/>
        <scheme val="minor"/>
      </rPr>
      <t>CO</t>
    </r>
    <r>
      <rPr>
        <sz val="11"/>
        <color theme="1"/>
        <rFont val="Calibri"/>
        <charset val="134"/>
        <scheme val="minor"/>
      </rPr>
      <t>)</t>
    </r>
  </si>
  <si>
    <t>Calculated</t>
  </si>
  <si>
    <t>Selected</t>
  </si>
  <si>
    <r>
      <rPr>
        <sz val="11"/>
        <color theme="1"/>
        <rFont val="Calibri"/>
        <charset val="134"/>
        <scheme val="minor"/>
      </rPr>
      <t>R</t>
    </r>
    <r>
      <rPr>
        <vertAlign val="subscript"/>
        <sz val="11"/>
        <color theme="1"/>
        <rFont val="Calibri"/>
        <charset val="134"/>
        <scheme val="minor"/>
      </rPr>
      <t>COMP</t>
    </r>
  </si>
  <si>
    <r>
      <rPr>
        <sz val="11"/>
        <color theme="1"/>
        <rFont val="Calibri"/>
        <charset val="134"/>
        <scheme val="minor"/>
      </rPr>
      <t>C</t>
    </r>
    <r>
      <rPr>
        <vertAlign val="subscript"/>
        <sz val="11"/>
        <color theme="1"/>
        <rFont val="Calibri"/>
        <charset val="134"/>
        <scheme val="minor"/>
      </rPr>
      <t>COMP</t>
    </r>
  </si>
  <si>
    <t>nF</t>
  </si>
  <si>
    <r>
      <rPr>
        <sz val="11"/>
        <color theme="1"/>
        <rFont val="Calibri"/>
        <charset val="134"/>
        <scheme val="minor"/>
      </rPr>
      <t>C</t>
    </r>
    <r>
      <rPr>
        <vertAlign val="subscript"/>
        <sz val="11"/>
        <color theme="1"/>
        <rFont val="Calibri"/>
        <charset val="134"/>
        <scheme val="minor"/>
      </rPr>
      <t>HF</t>
    </r>
  </si>
  <si>
    <t>pF</t>
  </si>
  <si>
    <t>Efficiency / Power Loss Analyzer</t>
  </si>
  <si>
    <t>MOSFET parameters</t>
  </si>
  <si>
    <r>
      <rPr>
        <sz val="10"/>
        <rFont val="Arial"/>
        <charset val="134"/>
      </rPr>
      <t>On-State Resistance, R</t>
    </r>
    <r>
      <rPr>
        <vertAlign val="subscript"/>
        <sz val="10"/>
        <rFont val="Arial"/>
        <charset val="134"/>
      </rPr>
      <t>DS(on)</t>
    </r>
    <r>
      <rPr>
        <sz val="10"/>
        <rFont val="Arial"/>
        <charset val="134"/>
      </rPr>
      <t xml:space="preserve"> </t>
    </r>
  </si>
  <si>
    <t>mΩ</t>
  </si>
  <si>
    <r>
      <rPr>
        <sz val="10"/>
        <rFont val="Arial"/>
        <charset val="134"/>
      </rPr>
      <t>Total Gate Charge, Q</t>
    </r>
    <r>
      <rPr>
        <vertAlign val="subscript"/>
        <sz val="10"/>
        <rFont val="Arial"/>
        <charset val="134"/>
      </rPr>
      <t>G</t>
    </r>
    <r>
      <rPr>
        <sz val="10"/>
        <rFont val="Arial"/>
        <charset val="134"/>
      </rPr>
      <t xml:space="preserve"> </t>
    </r>
  </si>
  <si>
    <t>nC</t>
  </si>
  <si>
    <r>
      <rPr>
        <sz val="10"/>
        <rFont val="Arial"/>
        <charset val="134"/>
      </rPr>
      <t>Gate-Drain Charge, Q</t>
    </r>
    <r>
      <rPr>
        <vertAlign val="subscript"/>
        <sz val="10"/>
        <rFont val="Arial"/>
        <charset val="134"/>
      </rPr>
      <t>GD</t>
    </r>
    <r>
      <rPr>
        <sz val="10"/>
        <rFont val="Arial"/>
        <charset val="134"/>
      </rPr>
      <t xml:space="preserve"> </t>
    </r>
  </si>
  <si>
    <r>
      <rPr>
        <sz val="10"/>
        <rFont val="Arial"/>
        <charset val="134"/>
      </rPr>
      <t>Gate-Source Charge, Q</t>
    </r>
    <r>
      <rPr>
        <vertAlign val="subscript"/>
        <sz val="10"/>
        <rFont val="Arial"/>
        <charset val="134"/>
      </rPr>
      <t>GS</t>
    </r>
    <r>
      <rPr>
        <sz val="10"/>
        <rFont val="Arial"/>
        <charset val="134"/>
      </rPr>
      <t xml:space="preserve"> </t>
    </r>
  </si>
  <si>
    <r>
      <rPr>
        <sz val="10"/>
        <rFont val="Arial"/>
        <charset val="134"/>
      </rPr>
      <t>Gate Resistance, R</t>
    </r>
    <r>
      <rPr>
        <vertAlign val="subscript"/>
        <sz val="10"/>
        <rFont val="Arial"/>
        <charset val="134"/>
      </rPr>
      <t>G</t>
    </r>
    <r>
      <rPr>
        <sz val="10"/>
        <rFont val="Arial"/>
        <charset val="134"/>
      </rPr>
      <t xml:space="preserve"> </t>
    </r>
  </si>
  <si>
    <t>Ω</t>
  </si>
  <si>
    <r>
      <rPr>
        <sz val="10"/>
        <rFont val="Arial"/>
        <charset val="134"/>
      </rPr>
      <t>Transconductance, g</t>
    </r>
    <r>
      <rPr>
        <vertAlign val="subscript"/>
        <sz val="10"/>
        <rFont val="Arial"/>
        <charset val="134"/>
      </rPr>
      <t>FS</t>
    </r>
    <r>
      <rPr>
        <sz val="10"/>
        <rFont val="Arial"/>
        <charset val="134"/>
      </rPr>
      <t xml:space="preserve"> </t>
    </r>
  </si>
  <si>
    <t>S</t>
  </si>
  <si>
    <r>
      <rPr>
        <sz val="10"/>
        <rFont val="Arial"/>
        <charset val="134"/>
      </rPr>
      <t>Gate-Source Threshold Voltage, V</t>
    </r>
    <r>
      <rPr>
        <vertAlign val="subscript"/>
        <sz val="10"/>
        <rFont val="Arial"/>
        <charset val="134"/>
      </rPr>
      <t>TH</t>
    </r>
    <r>
      <rPr>
        <sz val="10"/>
        <rFont val="Arial"/>
        <charset val="134"/>
      </rPr>
      <t xml:space="preserve"> </t>
    </r>
  </si>
  <si>
    <t>Diode Parameters</t>
  </si>
  <si>
    <r>
      <rPr>
        <sz val="11"/>
        <color theme="1"/>
        <rFont val="Calibri"/>
        <charset val="134"/>
        <scheme val="minor"/>
      </rPr>
      <t>Recommended minimum average current rating (I</t>
    </r>
    <r>
      <rPr>
        <vertAlign val="subscript"/>
        <sz val="11"/>
        <color theme="1"/>
        <rFont val="Calibri"/>
        <charset val="134"/>
        <scheme val="minor"/>
      </rPr>
      <t>D_AVG</t>
    </r>
    <r>
      <rPr>
        <sz val="11"/>
        <color theme="1"/>
        <rFont val="Calibri"/>
        <charset val="134"/>
        <scheme val="minor"/>
      </rPr>
      <t>)</t>
    </r>
  </si>
  <si>
    <r>
      <rPr>
        <sz val="11"/>
        <color theme="1"/>
        <rFont val="Calibri"/>
        <charset val="134"/>
        <scheme val="minor"/>
      </rPr>
      <t>Forward Voltage Drop (V</t>
    </r>
    <r>
      <rPr>
        <vertAlign val="subscript"/>
        <sz val="11"/>
        <color theme="1"/>
        <rFont val="Calibri"/>
        <charset val="134"/>
        <scheme val="minor"/>
      </rPr>
      <t>D</t>
    </r>
    <r>
      <rPr>
        <sz val="11"/>
        <color theme="1"/>
        <rFont val="Calibri"/>
        <charset val="134"/>
        <scheme val="minor"/>
      </rPr>
      <t>)</t>
    </r>
  </si>
  <si>
    <t>Reverse recovery charge of Schottky  Diode (QRR)</t>
  </si>
  <si>
    <t>Version Number</t>
  </si>
  <si>
    <t>1.0.0</t>
  </si>
  <si>
    <t>Version History</t>
  </si>
  <si>
    <t>Version</t>
  </si>
  <si>
    <t>Change List Description</t>
  </si>
  <si>
    <t>Initial Release</t>
  </si>
  <si>
    <t>EXCEL Variables Names/Calculations</t>
  </si>
  <si>
    <t>Input from user =</t>
  </si>
  <si>
    <t>Output =</t>
  </si>
  <si>
    <t xml:space="preserve">Base Calculations of </t>
  </si>
  <si>
    <t>Spec conditions</t>
  </si>
  <si>
    <t>Nominal right now</t>
  </si>
  <si>
    <t>Constant</t>
  </si>
  <si>
    <t>Variable Name</t>
  </si>
  <si>
    <t>Value</t>
  </si>
  <si>
    <t>STD Units</t>
  </si>
  <si>
    <t>Notes</t>
  </si>
  <si>
    <t>Iteration</t>
  </si>
  <si>
    <t>Flag</t>
  </si>
  <si>
    <t>Step 1: Operational Specs</t>
  </si>
  <si>
    <t>VIN_min</t>
  </si>
  <si>
    <t>Minimum input voltage</t>
  </si>
  <si>
    <t>VIN_nom</t>
  </si>
  <si>
    <t>Nominal input voltage</t>
  </si>
  <si>
    <t>VIN_max</t>
  </si>
  <si>
    <t>Maximum input voltage</t>
  </si>
  <si>
    <t>Fsw</t>
  </si>
  <si>
    <t>Hz</t>
  </si>
  <si>
    <t xml:space="preserve">Switching frequnecy </t>
  </si>
  <si>
    <t>RT</t>
  </si>
  <si>
    <t>Oscillator Set resistor. Based on the datasheet equation</t>
  </si>
  <si>
    <t>VOUT</t>
  </si>
  <si>
    <t>Target Output Voltage</t>
  </si>
  <si>
    <t>IOUT</t>
  </si>
  <si>
    <t>Maximum Output current</t>
  </si>
  <si>
    <t>ROUT</t>
  </si>
  <si>
    <t>Minimum load resistance</t>
  </si>
  <si>
    <t>POUT</t>
  </si>
  <si>
    <t>Total output power</t>
  </si>
  <si>
    <t>EFF_est</t>
  </si>
  <si>
    <t xml:space="preserve">Estimated efficiency. Assuming 95% to give some margin </t>
  </si>
  <si>
    <t>Dc_max_ideal</t>
  </si>
  <si>
    <t>Maximum duty cycle at the minimum input voltage. Includes estimated efficiency for margin</t>
  </si>
  <si>
    <t>Dc_max_IC</t>
  </si>
  <si>
    <t>Maximum IC duty cycle. Based on the forced off time. See Mathcad Calculations</t>
  </si>
  <si>
    <t>DCM_Flag</t>
  </si>
  <si>
    <t>Is discontinuous conduction mode required to achieve step up ratio?</t>
  </si>
  <si>
    <t>*Note right now DCM is not active for SEPIC calculations</t>
  </si>
  <si>
    <t>IL_coupled</t>
  </si>
  <si>
    <r>
      <rPr>
        <sz val="11"/>
        <color theme="1"/>
        <rFont val="Calibri"/>
        <charset val="134"/>
        <scheme val="minor"/>
      </rPr>
      <t xml:space="preserve">are the inductors coupled? (1 = Yes, 0 = No). </t>
    </r>
    <r>
      <rPr>
        <b/>
        <sz val="11"/>
        <color theme="1"/>
        <rFont val="Calibri"/>
        <charset val="134"/>
        <scheme val="minor"/>
      </rPr>
      <t>This will be an option in future revisions</t>
    </r>
  </si>
  <si>
    <t>CCM Operation calculations</t>
  </si>
  <si>
    <t>Calculate the inductor at nominal voltage. This should allow for the best efficiency</t>
  </si>
  <si>
    <t>ILrip</t>
  </si>
  <si>
    <t>Selected indutor ripple ratio. Will be changed later to a standard value just to keep things simple</t>
  </si>
  <si>
    <t>Lopt_2</t>
  </si>
  <si>
    <t>H</t>
  </si>
  <si>
    <t>This value used to make the selection for CCM calculations. This is done at the Nominal input voltage</t>
  </si>
  <si>
    <t>DCM Strategy</t>
  </si>
  <si>
    <t>"Currently this is set of a boost Converter. Will need to change when Supporting DCM Calculation</t>
  </si>
  <si>
    <t>DC_DCM_max</t>
  </si>
  <si>
    <t>Maximum duty cycle for DCM operation. 70% is a good starting point. Could be related to the switching frequency</t>
  </si>
  <si>
    <t>L_DCM_DC</t>
  </si>
  <si>
    <t>Select DCM duty cycle to be 70%. This will keep the ripple current fairly low and allow for efficiency drops.</t>
  </si>
  <si>
    <t>M_L_DCM</t>
  </si>
  <si>
    <t>Margin to allow for inductor ripple current to be greater than the average input current</t>
  </si>
  <si>
    <t>L_DCM_M</t>
  </si>
  <si>
    <t xml:space="preserve">Inductor value that ensures the ripple current is larger than the average input current </t>
  </si>
  <si>
    <t>L_DCM</t>
  </si>
  <si>
    <t>Select the lowest of the two inductor value calculations</t>
  </si>
  <si>
    <t>Lm_calc</t>
  </si>
  <si>
    <t>If DCM is required (high step-up ratio) output L_DCM. Otherwise output the CCM inductor value</t>
  </si>
  <si>
    <t>Lm</t>
  </si>
  <si>
    <t>Selected filter inductor</t>
  </si>
  <si>
    <t>Input from user for uncoupled design</t>
  </si>
  <si>
    <t>Lm_A</t>
  </si>
  <si>
    <t>Input coil inductance</t>
  </si>
  <si>
    <t>Lm_B</t>
  </si>
  <si>
    <t>Output coil inductance</t>
  </si>
  <si>
    <t>Rdcr</t>
  </si>
  <si>
    <t>Filter inductor DCR</t>
  </si>
  <si>
    <t>Ltol</t>
  </si>
  <si>
    <t>Assumed inductor tolerance. Constant to help simplify the user experience</t>
  </si>
  <si>
    <t>.</t>
  </si>
  <si>
    <t>Duty Cycle Calculations</t>
  </si>
  <si>
    <t>Minium input voltage</t>
  </si>
  <si>
    <t>DCc_mode_VIN_min</t>
  </si>
  <si>
    <r>
      <rPr>
        <sz val="11"/>
        <color theme="1"/>
        <rFont val="Calibri"/>
        <charset val="134"/>
        <scheme val="minor"/>
      </rPr>
      <t xml:space="preserve">Flags if the regulator is operating in CCM or DCM (1 = CCM, 0 = DCM). </t>
    </r>
    <r>
      <rPr>
        <b/>
        <sz val="11"/>
        <color theme="1"/>
        <rFont val="Calibri"/>
        <charset val="134"/>
        <scheme val="minor"/>
      </rPr>
      <t>*Currently set to CCM all the time to enusure the calculations are correct for CCM</t>
    </r>
  </si>
  <si>
    <t>Dc_VIN_min</t>
  </si>
  <si>
    <t>Duty cycle at the mimum input voltage (CCM). DCM is modeled for coupled inductor equations. Needs to me modeld of uncoupled inductors</t>
  </si>
  <si>
    <t>s</t>
  </si>
  <si>
    <t>On-time of the switch</t>
  </si>
  <si>
    <t>Input coil currents</t>
  </si>
  <si>
    <t>ILA_avg_VIN_min</t>
  </si>
  <si>
    <t>Average input current at minimum input voltage. 100% Eff assumed</t>
  </si>
  <si>
    <t>ILArip_VINmin</t>
  </si>
  <si>
    <t xml:space="preserve">Inductor ripple current at VIN min. </t>
  </si>
  <si>
    <t>ILAp_VINmin</t>
  </si>
  <si>
    <t>Peak inductor current at VIN min. Including estimated efficiency</t>
  </si>
  <si>
    <t>Output coil currents</t>
  </si>
  <si>
    <t>Outout coil inductor calculations</t>
  </si>
  <si>
    <t>ILB_avg_VIN_min</t>
  </si>
  <si>
    <t>ILBrip_VINmin</t>
  </si>
  <si>
    <t>ILBp_VINmin</t>
  </si>
  <si>
    <t>Switch currents</t>
  </si>
  <si>
    <t>ISW_peak_VIN_min</t>
  </si>
  <si>
    <t>DCc_mode_VIN_nom</t>
  </si>
  <si>
    <t>Flags if the regulator is operating in CCM or DCM (1 = CCM, 0 = DCM)</t>
  </si>
  <si>
    <t>Dc_VIN_nom</t>
  </si>
  <si>
    <t>Duty cycle at the nominal input voltage (CCM) (First order/ ideal equation)</t>
  </si>
  <si>
    <t>ILA_avg_VIN_nom</t>
  </si>
  <si>
    <t>Average input current at nominal input voltage. 100% Eff assumed</t>
  </si>
  <si>
    <t>ILArip_VINnom</t>
  </si>
  <si>
    <t xml:space="preserve">Inductor ripple current at VIN nom. </t>
  </si>
  <si>
    <t>ILAp_VINnom</t>
  </si>
  <si>
    <t>Peak inductor current at VIN nom. Including estimated efficiency</t>
  </si>
  <si>
    <t>ILB_avg_VIN_nom</t>
  </si>
  <si>
    <t>ILBrip_VIN_nom</t>
  </si>
  <si>
    <t>ILBp_VIN_nom</t>
  </si>
  <si>
    <t>ISW_peak_VIN_nom</t>
  </si>
  <si>
    <t>DCc_mode_VIN_max</t>
  </si>
  <si>
    <t>Dc_VIN_max</t>
  </si>
  <si>
    <t>Duty cycle at the maximum input voltage (CCM) (First order/ ideal equation)</t>
  </si>
  <si>
    <t>ILA_avg_VIN_max</t>
  </si>
  <si>
    <t>Average input current at maximum input voltage. 100% Eff assumed</t>
  </si>
  <si>
    <t>ILArip_VINmax</t>
  </si>
  <si>
    <t xml:space="preserve">Inductor ripple current at VIN max. </t>
  </si>
  <si>
    <t>ILAp_VINmax</t>
  </si>
  <si>
    <t>Peak inductor current at VIN max. Including estimated efficiency</t>
  </si>
  <si>
    <t>ILB_avg_VIN_max</t>
  </si>
  <si>
    <t>ILBrip_VIN_max</t>
  </si>
  <si>
    <t>ILBp_VIN_max</t>
  </si>
  <si>
    <t>ISW_peak_VIN_max</t>
  </si>
  <si>
    <t>Step 3: Current Sense Resistor</t>
  </si>
  <si>
    <t>Ipk_margin</t>
  </si>
  <si>
    <t>Peak current limit margin. 20% is a typical value</t>
  </si>
  <si>
    <t>Ipk_selected</t>
  </si>
  <si>
    <t>Selected peak current limit based on margin selection</t>
  </si>
  <si>
    <t>Rcs_sl_ratio</t>
  </si>
  <si>
    <t>ratio of down slope to slope compensation. This can be updated to give more margin</t>
  </si>
  <si>
    <t>Rcs_max</t>
  </si>
  <si>
    <t>Maximum Rcs based on internal slope compensation. Assuming slope ratio of 1/2</t>
  </si>
  <si>
    <t>Rcs_wo_sl</t>
  </si>
  <si>
    <t>Current sense resistor without slope compensation</t>
  </si>
  <si>
    <t>Rcs_ext_sl_ratio</t>
  </si>
  <si>
    <t>External Slope compensation ratio. Constant to provide a dead beat response</t>
  </si>
  <si>
    <t>Rcs_w_sl</t>
  </si>
  <si>
    <t>Calculated current sense resistor with slope compensation included</t>
  </si>
  <si>
    <t>R_sl_ext</t>
  </si>
  <si>
    <t>Calculated external slope compensation resistor</t>
  </si>
  <si>
    <t>Flag_ext_sl</t>
  </si>
  <si>
    <t>External Compensation? (0-no, 1-yes), Only accurate for CCM as DCM doesn't need slope compensation</t>
  </si>
  <si>
    <t>R_cs_calc</t>
  </si>
  <si>
    <t>Current Sense Resistor calculated, id DCM this is going to be the value calculated without slope compensation</t>
  </si>
  <si>
    <t>R_sl_calc</t>
  </si>
  <si>
    <t>External slope compensation resistor, if DCM operation the external slope compensation is not needed. Should b 0 Ohm</t>
  </si>
  <si>
    <t>R_cs</t>
  </si>
  <si>
    <t>Selected current sense Resistor</t>
  </si>
  <si>
    <t>R_sl</t>
  </si>
  <si>
    <t>Selected external slope compensation</t>
  </si>
  <si>
    <t>sl_vin_min</t>
  </si>
  <si>
    <t>V/V</t>
  </si>
  <si>
    <t>Check to make sure that slope compensation is high enough at the minimum input voltage</t>
  </si>
  <si>
    <t>IL_pk</t>
  </si>
  <si>
    <t>Peak current limit at the minimum input voltage</t>
  </si>
  <si>
    <t>IL_pk_max</t>
  </si>
  <si>
    <t>Peak inductor current limit for saturation rating.  VIN max due to the possibility of external slope comp</t>
  </si>
  <si>
    <t>sat_mar</t>
  </si>
  <si>
    <t>Margin for saturation current of the inductor</t>
  </si>
  <si>
    <t>IL_sat</t>
  </si>
  <si>
    <t>Recommended Saturation current rating of the selected inductor</t>
  </si>
  <si>
    <t>COMP voltage Limit checks</t>
  </si>
  <si>
    <t>Step 4: AC capacitor selection</t>
  </si>
  <si>
    <t>VCrr</t>
  </si>
  <si>
    <t>Cac_min</t>
  </si>
  <si>
    <t>F</t>
  </si>
  <si>
    <t>Calculated for CCM operation assuming coupled inductors</t>
  </si>
  <si>
    <t>Cac</t>
  </si>
  <si>
    <t>Selected  AC capacitor value for the user</t>
  </si>
  <si>
    <t>V_Cac</t>
  </si>
  <si>
    <t>Max ripple voltage of the capacitor (at VIN min)</t>
  </si>
  <si>
    <t>IRMS_Cac</t>
  </si>
  <si>
    <t>RMS ripple current of the AC capacitor. Calculated at the minimum input votlage</t>
  </si>
  <si>
    <t>*Note this changed for the Version 1 forward. The output capcitance is based on the load transient specification. Similar to the fylback converter</t>
  </si>
  <si>
    <t>fcross_estimate</t>
  </si>
  <si>
    <t>RAD</t>
  </si>
  <si>
    <r>
      <rPr>
        <sz val="11"/>
        <color theme="1"/>
        <rFont val="Calibri"/>
        <charset val="134"/>
        <scheme val="minor"/>
      </rPr>
      <t>Estimate to be 1.5 the RHP zero frequency *</t>
    </r>
    <r>
      <rPr>
        <b/>
        <sz val="11"/>
        <color theme="1"/>
        <rFont val="Calibri"/>
        <charset val="134"/>
        <scheme val="minor"/>
      </rPr>
      <t>Will need to updated for DCM operation</t>
    </r>
  </si>
  <si>
    <t>Vout_rip_sel</t>
  </si>
  <si>
    <t>Desired output ripple</t>
  </si>
  <si>
    <t>Itrans</t>
  </si>
  <si>
    <t>Cout_min</t>
  </si>
  <si>
    <t>Calculate minimum capacitance based simply on the capacitive ripple</t>
  </si>
  <si>
    <t>IRMS_COUT</t>
  </si>
  <si>
    <r>
      <rPr>
        <sz val="11"/>
        <color theme="1"/>
        <rFont val="Calibri"/>
        <charset val="134"/>
        <scheme val="minor"/>
      </rPr>
      <t xml:space="preserve">RMS current of the output capacitor at VIN min IOUT max. RMS current rating should be larger than this. </t>
    </r>
    <r>
      <rPr>
        <b/>
        <sz val="11"/>
        <color theme="1"/>
        <rFont val="Calibri"/>
        <charset val="134"/>
        <scheme val="minor"/>
      </rPr>
      <t>Need to update for DCM and uncoupled inductors</t>
    </r>
  </si>
  <si>
    <t>Cout</t>
  </si>
  <si>
    <t>Selected Output Capacitance</t>
  </si>
  <si>
    <t>Resr</t>
  </si>
  <si>
    <r>
      <rPr>
        <sz val="11"/>
        <color theme="1"/>
        <rFont val="Calibri"/>
        <charset val="134"/>
        <scheme val="minor"/>
      </rPr>
      <t xml:space="preserve">Selected output capacitance ESR. </t>
    </r>
    <r>
      <rPr>
        <b/>
        <sz val="11"/>
        <color theme="1"/>
        <rFont val="Calibri"/>
        <charset val="134"/>
        <scheme val="minor"/>
      </rPr>
      <t>*Need to add a requirement here for the maximum value</t>
    </r>
  </si>
  <si>
    <t>Step 6: Soft-start Capacitor selection</t>
  </si>
  <si>
    <t>SS time</t>
  </si>
  <si>
    <t>ms</t>
  </si>
  <si>
    <t>Softstart time for LM34x8</t>
  </si>
  <si>
    <t>Step 7: UVLO Resistor Selection</t>
  </si>
  <si>
    <t>No UVLO pin</t>
  </si>
  <si>
    <t>Step 8: Loop Compensation</t>
  </si>
  <si>
    <t>VIN_var</t>
  </si>
  <si>
    <r>
      <rPr>
        <sz val="11"/>
        <color theme="1"/>
        <rFont val="Calibri"/>
        <charset val="134"/>
        <scheme val="minor"/>
      </rPr>
      <t xml:space="preserve">Variable input voltage to model the loop. </t>
    </r>
    <r>
      <rPr>
        <b/>
        <sz val="11"/>
        <color theme="1"/>
        <rFont val="Calibri"/>
        <charset val="134"/>
        <scheme val="minor"/>
      </rPr>
      <t>Currently not used. Will be updated in next rev</t>
    </r>
  </si>
  <si>
    <t>Feedback resistor selection</t>
  </si>
  <si>
    <t>RFBT</t>
  </si>
  <si>
    <t>Selected by user. Feedback resistor should be &gt;100uA to help reject noise</t>
  </si>
  <si>
    <t>RFBB_CALC</t>
  </si>
  <si>
    <t>Estimated bottom feedback resistor</t>
  </si>
  <si>
    <t>RFBB</t>
  </si>
  <si>
    <t>Selected botton feedback resistor</t>
  </si>
  <si>
    <t>Ifb</t>
  </si>
  <si>
    <t>Current Drawn from the feedback resistors (Typically higher than 100uA to help w/ noise)</t>
  </si>
  <si>
    <t>Crossover Frequency Selection</t>
  </si>
  <si>
    <t>This is based on the minimum input voltage. T</t>
  </si>
  <si>
    <t>CCM Calculations</t>
  </si>
  <si>
    <t>ADC_VINmin</t>
  </si>
  <si>
    <t>wp_lf_VINmin</t>
  </si>
  <si>
    <t>rad</t>
  </si>
  <si>
    <t>Low frequency pole based on the minimum input voltage</t>
  </si>
  <si>
    <t>fp_lf_VINmin</t>
  </si>
  <si>
    <r>
      <rPr>
        <sz val="11"/>
        <color theme="1"/>
        <rFont val="Calibri"/>
        <charset val="134"/>
        <scheme val="minor"/>
      </rPr>
      <t xml:space="preserve">Plant low frequency pole. </t>
    </r>
    <r>
      <rPr>
        <b/>
        <sz val="11"/>
        <color theme="1"/>
        <rFont val="Calibri"/>
        <charset val="134"/>
        <scheme val="minor"/>
      </rPr>
      <t>IN Hz!!!</t>
    </r>
  </si>
  <si>
    <t>wz_esr_VINmin</t>
  </si>
  <si>
    <t>raf</t>
  </si>
  <si>
    <t>ESR zero based on the minimum input voltage</t>
  </si>
  <si>
    <t>fz_esr_VINmin</t>
  </si>
  <si>
    <r>
      <rPr>
        <sz val="11"/>
        <color theme="1"/>
        <rFont val="Calibri"/>
        <charset val="134"/>
        <scheme val="minor"/>
      </rPr>
      <t xml:space="preserve">Plant capacitor ESR zero </t>
    </r>
    <r>
      <rPr>
        <b/>
        <sz val="11"/>
        <color theme="1"/>
        <rFont val="Calibri"/>
        <charset val="134"/>
        <scheme val="minor"/>
      </rPr>
      <t>(In Hz)</t>
    </r>
  </si>
  <si>
    <t>wz_RHP_VINmin</t>
  </si>
  <si>
    <t>RHP_zero location based on the minimum input voltage</t>
  </si>
  <si>
    <t>fz_rhp_VINmin</t>
  </si>
  <si>
    <r>
      <rPr>
        <sz val="11"/>
        <color theme="1"/>
        <rFont val="Calibri"/>
        <charset val="134"/>
        <scheme val="minor"/>
      </rPr>
      <t xml:space="preserve">Plant RHP Zero, </t>
    </r>
    <r>
      <rPr>
        <b/>
        <sz val="11"/>
        <color theme="1"/>
        <rFont val="Calibri"/>
        <charset val="134"/>
        <scheme val="minor"/>
      </rPr>
      <t>(IN Hz)</t>
    </r>
  </si>
  <si>
    <t>1/10 the swictching frequency</t>
  </si>
  <si>
    <r>
      <rPr>
        <sz val="11"/>
        <color theme="1"/>
        <rFont val="Calibri"/>
        <charset val="134"/>
        <scheme val="minor"/>
      </rPr>
      <t xml:space="preserve">Select the lower crossover frequency </t>
    </r>
    <r>
      <rPr>
        <b/>
        <sz val="11"/>
        <color theme="1"/>
        <rFont val="Calibri"/>
        <charset val="134"/>
        <scheme val="minor"/>
      </rPr>
      <t>(typically going to set to 1/5th the RHP zero)</t>
    </r>
  </si>
  <si>
    <t>Se_VINmin</t>
  </si>
  <si>
    <t xml:space="preserve">Slope compensation </t>
  </si>
  <si>
    <t>Sn_VINmin</t>
  </si>
  <si>
    <t>Down slope at the selected input voltage</t>
  </si>
  <si>
    <t>wsl_VINmin</t>
  </si>
  <si>
    <t>Rad</t>
  </si>
  <si>
    <t>Q_VINmin</t>
  </si>
  <si>
    <t>fcross_CCM</t>
  </si>
  <si>
    <r>
      <rPr>
        <sz val="11"/>
        <color theme="1"/>
        <rFont val="Calibri"/>
        <charset val="134"/>
        <scheme val="minor"/>
      </rPr>
      <t xml:space="preserve">Conservative. Set Fcross to be 1/6th the RHP zero frequency or 1/10th SW: whichever is lower. </t>
    </r>
    <r>
      <rPr>
        <b/>
        <sz val="11"/>
        <color theme="1"/>
        <rFont val="Calibri"/>
        <charset val="134"/>
        <scheme val="minor"/>
      </rPr>
      <t>Note this is just for CCM operation</t>
    </r>
  </si>
  <si>
    <t>fz_ea_est</t>
  </si>
  <si>
    <t>This sets the error amp zero at the geometric mean between the load pole and the crossover frequency</t>
  </si>
  <si>
    <t>fp_ea_est</t>
  </si>
  <si>
    <t>This should be set at or near the lowest RHP zero Frequency</t>
  </si>
  <si>
    <t>fcross</t>
  </si>
  <si>
    <t>Set between 1/2 fsw and the RHPz in the application note. This is aggressive</t>
  </si>
  <si>
    <t>Rcomp_Calc_CCM</t>
  </si>
  <si>
    <t>Calculate on based on the desired Mid-band gain needed to set the crossover frequency</t>
  </si>
  <si>
    <t>CCOMP_calc_CCM</t>
  </si>
  <si>
    <t>Calcualted based on the desired Zero frequency. Set at the geometric mean between the crossover frequency and the load pole</t>
  </si>
  <si>
    <t>CHF_Calc_CCM</t>
  </si>
  <si>
    <t>Calcualted based on the RHP zero frequency</t>
  </si>
  <si>
    <t>DCM Selections</t>
  </si>
  <si>
    <t>*DCM operation is not modeled is disabled on the loop compensation. Needs to be modeled for a SEPIC</t>
  </si>
  <si>
    <t>Fm_DCM</t>
  </si>
  <si>
    <t>Modulator gain of the PWM comparator</t>
  </si>
  <si>
    <t>ADC_VIN_min_DCM</t>
  </si>
  <si>
    <t>wp_dcm</t>
  </si>
  <si>
    <t>wz1_dcm</t>
  </si>
  <si>
    <t>wz2_dcm</t>
  </si>
  <si>
    <t>RHP zero location</t>
  </si>
  <si>
    <t>fcross_DCM</t>
  </si>
  <si>
    <r>
      <rPr>
        <sz val="11"/>
        <color theme="1"/>
        <rFont val="Calibri"/>
        <charset val="134"/>
        <scheme val="minor"/>
      </rPr>
      <t>Crossover frequnecy of the</t>
    </r>
    <r>
      <rPr>
        <b/>
        <sz val="11"/>
        <color theme="1"/>
        <rFont val="Calibri"/>
        <charset val="134"/>
        <scheme val="minor"/>
      </rPr>
      <t xml:space="preserve"> DCM control loop</t>
    </r>
    <r>
      <rPr>
        <sz val="11"/>
        <color theme="1"/>
        <rFont val="Calibri"/>
        <charset val="134"/>
        <scheme val="minor"/>
      </rPr>
      <t>. (1/5th the RHPzero frequency), suggested</t>
    </r>
  </si>
  <si>
    <t>Gain of the plant at the crossover frequency</t>
  </si>
  <si>
    <t>Selected cross over frequency by the user.</t>
  </si>
  <si>
    <t>Rcomp_Calc_DCM</t>
  </si>
  <si>
    <t>Ohm</t>
  </si>
  <si>
    <t>CCOMP_Calc_DCM</t>
  </si>
  <si>
    <t>CHF_Calc_DCM</t>
  </si>
  <si>
    <t>General Loop Selections</t>
  </si>
  <si>
    <t>This is the output to the user based on the mode of operation when VIN is the minimum</t>
  </si>
  <si>
    <t>Desired Crossover frequency</t>
  </si>
  <si>
    <t>Rcomp_Calc</t>
  </si>
  <si>
    <t>RCOMP</t>
  </si>
  <si>
    <t>Type II compensation Resistort</t>
  </si>
  <si>
    <t>CCOMP_calc</t>
  </si>
  <si>
    <t>CCOMP</t>
  </si>
  <si>
    <t>Type II compensation Capacitor</t>
  </si>
  <si>
    <t>CHF_calc</t>
  </si>
  <si>
    <t>CHF</t>
  </si>
  <si>
    <t>Type II high frequency capacitor</t>
  </si>
  <si>
    <t>Step 7: Component Selection</t>
  </si>
  <si>
    <t>Id_AVG</t>
  </si>
  <si>
    <t xml:space="preserve">Suggested average current rating of diode. </t>
  </si>
  <si>
    <t>Vd_rect</t>
  </si>
  <si>
    <t>Rect Diode forward voltage drop</t>
  </si>
  <si>
    <t>Qrr</t>
  </si>
  <si>
    <t>C</t>
  </si>
  <si>
    <t>Shottky Reverse recovery charge</t>
  </si>
  <si>
    <t>MOSFET Parameters</t>
  </si>
  <si>
    <t>RDS_on</t>
  </si>
  <si>
    <t>Qg_tot</t>
  </si>
  <si>
    <t>Qgd</t>
  </si>
  <si>
    <t>Qgs</t>
  </si>
  <si>
    <t>Rgate</t>
  </si>
  <si>
    <t>Rgate_int</t>
  </si>
  <si>
    <t>Internal Gate resistance of the MOSFET driver.</t>
  </si>
  <si>
    <t>gfs</t>
  </si>
  <si>
    <t>Vth</t>
  </si>
  <si>
    <t>VCC</t>
  </si>
  <si>
    <t xml:space="preserve">VCC voltage. Can be changed with external bias. </t>
  </si>
  <si>
    <t>Vsp</t>
  </si>
  <si>
    <t>Gate voltage when MOSFET begins conducting current</t>
  </si>
  <si>
    <t>tr_sw</t>
  </si>
  <si>
    <t>Rise time of the switch node</t>
  </si>
  <si>
    <t>tf_sw</t>
  </si>
  <si>
    <t>Fall time of the switch node</t>
  </si>
  <si>
    <t>Check this value</t>
  </si>
  <si>
    <t>Coils are not included in the efficiency calculations</t>
  </si>
  <si>
    <t>Operation Variables</t>
  </si>
  <si>
    <t>Duty Cycle</t>
  </si>
  <si>
    <t>Inductor (Written of the switch on SEPIC)</t>
  </si>
  <si>
    <t>MOSFET</t>
  </si>
  <si>
    <t>Diode</t>
  </si>
  <si>
    <t>Other Losses</t>
  </si>
  <si>
    <t>Total Losses</t>
  </si>
  <si>
    <t>VIN</t>
  </si>
  <si>
    <t>IIN</t>
  </si>
  <si>
    <t>DCM/CCM</t>
  </si>
  <si>
    <t>DC</t>
  </si>
  <si>
    <t>DC_off</t>
  </si>
  <si>
    <t>dIL</t>
  </si>
  <si>
    <r>
      <rPr>
        <sz val="11"/>
        <color theme="1"/>
        <rFont val="Calibri"/>
        <charset val="134"/>
        <scheme val="minor"/>
      </rPr>
      <t>IL</t>
    </r>
    <r>
      <rPr>
        <vertAlign val="subscript"/>
        <sz val="11"/>
        <color theme="1"/>
        <rFont val="Calibri"/>
        <charset val="134"/>
        <scheme val="minor"/>
      </rPr>
      <t>PEAK</t>
    </r>
  </si>
  <si>
    <r>
      <rPr>
        <sz val="11"/>
        <color theme="1"/>
        <rFont val="Calibri"/>
        <charset val="134"/>
        <scheme val="minor"/>
      </rPr>
      <t>IL</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</si>
  <si>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Lac</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</si>
  <si>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L_DCR</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</si>
  <si>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L_tot</t>
    </r>
    <r>
      <rPr>
        <sz val="11"/>
        <color theme="1"/>
        <rFont val="Calibri"/>
        <charset val="134"/>
        <scheme val="minor"/>
      </rPr>
      <t xml:space="preserve"> (W)</t>
    </r>
  </si>
  <si>
    <r>
      <rPr>
        <sz val="11"/>
        <color theme="1"/>
        <rFont val="Calibri"/>
        <charset val="134"/>
        <scheme val="minor"/>
      </rPr>
      <t>ISW</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</si>
  <si>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ISW</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</si>
  <si>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Q_COND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</si>
  <si>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</si>
  <si>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Q_tot </t>
    </r>
    <r>
      <rPr>
        <sz val="11"/>
        <color theme="1"/>
        <rFont val="Calibri"/>
        <charset val="134"/>
        <scheme val="minor"/>
      </rPr>
      <t>(W)</t>
    </r>
  </si>
  <si>
    <r>
      <rPr>
        <sz val="11"/>
        <color theme="1"/>
        <rFont val="Calibri"/>
        <charset val="134"/>
        <scheme val="minor"/>
      </rPr>
      <t>ID</t>
    </r>
    <r>
      <rPr>
        <vertAlign val="subscript"/>
        <sz val="11"/>
        <color theme="1"/>
        <rFont val="Calibri"/>
        <charset val="134"/>
        <scheme val="minor"/>
      </rPr>
      <t xml:space="preserve">AVG </t>
    </r>
    <r>
      <rPr>
        <sz val="11"/>
        <color theme="1"/>
        <rFont val="Calibri"/>
        <charset val="134"/>
        <scheme val="minor"/>
      </rPr>
      <t>(A)</t>
    </r>
  </si>
  <si>
    <r>
      <rPr>
        <sz val="11"/>
        <color theme="1"/>
        <rFont val="Calibri"/>
        <charset val="134"/>
        <scheme val="minor"/>
      </rPr>
      <t>ID</t>
    </r>
    <r>
      <rPr>
        <vertAlign val="subscript"/>
        <sz val="11"/>
        <color theme="1"/>
        <rFont val="Calibri"/>
        <charset val="134"/>
        <scheme val="minor"/>
      </rPr>
      <t>RMS</t>
    </r>
  </si>
  <si>
    <r>
      <rPr>
        <sz val="11"/>
        <color theme="1"/>
        <rFont val="Calibri"/>
        <charset val="134"/>
        <scheme val="minor"/>
      </rPr>
      <t>P</t>
    </r>
    <r>
      <rPr>
        <vertAlign val="subscript"/>
        <sz val="11"/>
        <color theme="1"/>
        <rFont val="Calibri"/>
        <charset val="134"/>
        <scheme val="minor"/>
      </rPr>
      <t xml:space="preserve">D_COND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</si>
  <si>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D_SW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</si>
  <si>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 xml:space="preserve">D_tot </t>
    </r>
    <r>
      <rPr>
        <sz val="11"/>
        <color theme="1"/>
        <rFont val="Calibri"/>
        <charset val="134"/>
        <scheme val="minor"/>
      </rPr>
      <t>(W)</t>
    </r>
  </si>
  <si>
    <r>
      <rPr>
        <sz val="11"/>
        <color theme="1"/>
        <rFont val="Calibri"/>
        <charset val="134"/>
        <scheme val="minor"/>
      </rPr>
      <t>P</t>
    </r>
    <r>
      <rPr>
        <vertAlign val="subscript"/>
        <sz val="11"/>
        <color theme="1"/>
        <rFont val="Calibri"/>
        <charset val="134"/>
        <scheme val="minor"/>
      </rPr>
      <t>RCS</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</si>
  <si>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G_drv</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</si>
  <si>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IQ</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</si>
  <si>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TOTAL</t>
    </r>
    <r>
      <rPr>
        <sz val="11"/>
        <color theme="1"/>
        <rFont val="Calibri"/>
        <charset val="134"/>
        <scheme val="minor"/>
      </rPr>
      <t xml:space="preserve"> (W)</t>
    </r>
  </si>
  <si>
    <r>
      <rPr>
        <sz val="11"/>
        <color theme="1"/>
        <rFont val="Calibri"/>
        <charset val="134"/>
        <scheme val="minor"/>
      </rPr>
      <t>P</t>
    </r>
    <r>
      <rPr>
        <vertAlign val="subscript"/>
        <sz val="11"/>
        <color theme="1"/>
        <rFont val="Calibri"/>
        <charset val="134"/>
        <scheme val="minor"/>
      </rPr>
      <t>OUT</t>
    </r>
    <r>
      <rPr>
        <sz val="11"/>
        <color theme="1"/>
        <rFont val="Calibri"/>
        <charset val="134"/>
        <scheme val="minor"/>
      </rPr>
      <t xml:space="preserve"> (W)</t>
    </r>
  </si>
  <si>
    <t>Eff</t>
  </si>
  <si>
    <t>VIN_VAR</t>
  </si>
  <si>
    <t>Steps</t>
  </si>
  <si>
    <t>Step size</t>
  </si>
  <si>
    <t>Calculations</t>
  </si>
  <si>
    <t>Needs to be updated for DCM operation</t>
  </si>
  <si>
    <t>Operating mode</t>
  </si>
  <si>
    <t>Plant Transfer Function</t>
  </si>
  <si>
    <t>Error Amplifier</t>
  </si>
  <si>
    <t>CCM Open Loop Response</t>
  </si>
  <si>
    <t>DCM Open Loop Response</t>
  </si>
  <si>
    <t>Displayed Loop Calclation</t>
  </si>
  <si>
    <t>wp_lf</t>
  </si>
  <si>
    <t>wz_esr</t>
  </si>
  <si>
    <t>Sampling</t>
  </si>
  <si>
    <t>Total</t>
  </si>
  <si>
    <t>wz_RHP</t>
  </si>
  <si>
    <t>wp0_ea</t>
  </si>
  <si>
    <t>wp1_ea</t>
  </si>
  <si>
    <t>wz_ea</t>
  </si>
  <si>
    <t>ADC</t>
  </si>
  <si>
    <t>Complex</t>
  </si>
  <si>
    <t>Gain</t>
  </si>
  <si>
    <t>Phase</t>
  </si>
  <si>
    <t>COMPLEX</t>
  </si>
  <si>
    <t xml:space="preserve">Gain </t>
  </si>
  <si>
    <t>ADC_ea</t>
  </si>
  <si>
    <t>Frcoss (VIN)min</t>
  </si>
  <si>
    <t>Fcross</t>
  </si>
  <si>
    <t>Input Parameters</t>
  </si>
  <si>
    <t>XOVER SEARCH</t>
  </si>
  <si>
    <t>xover</t>
  </si>
  <si>
    <t>phase margin</t>
  </si>
  <si>
    <t xml:space="preserve"> CCMPlant Parameters</t>
  </si>
  <si>
    <t>Selected VIN</t>
  </si>
  <si>
    <t>Variable input voltage</t>
  </si>
  <si>
    <t>CCM Plant Transfer Function</t>
  </si>
  <si>
    <t>DCM Plant Transfer Function</t>
  </si>
  <si>
    <t>IOUT_VAR</t>
  </si>
  <si>
    <t>Variable output current (Can add this a different revision, not needed right now)</t>
  </si>
  <si>
    <t>DC_VIN_Var</t>
  </si>
  <si>
    <t>Frequency</t>
  </si>
  <si>
    <t>Gain(dB)</t>
  </si>
  <si>
    <t>Phase (deg)</t>
  </si>
  <si>
    <t>Gain Cross</t>
  </si>
  <si>
    <t>Phase Cross</t>
  </si>
  <si>
    <t>Output Voltage</t>
  </si>
  <si>
    <t>Component Selection</t>
  </si>
  <si>
    <t>LM</t>
  </si>
  <si>
    <t>filter Inductor</t>
  </si>
  <si>
    <t>Current sense resi</t>
  </si>
  <si>
    <t>External Slope Compensation Resistor</t>
  </si>
  <si>
    <t>Rsl_int</t>
  </si>
  <si>
    <t>Interanl Slope Compesnation Resistor</t>
  </si>
  <si>
    <t>Isl</t>
  </si>
  <si>
    <t>Interanl Slope Compesnation current</t>
  </si>
  <si>
    <t>Gcomp</t>
  </si>
  <si>
    <t>Scale down factor of the interal comp voltage divider</t>
  </si>
  <si>
    <r>
      <rPr>
        <sz val="11"/>
        <color theme="1"/>
        <rFont val="Calibri"/>
        <charset val="134"/>
        <scheme val="minor"/>
      </rPr>
      <t xml:space="preserve">0 - DCM operation, 1- CCM opertaion. </t>
    </r>
    <r>
      <rPr>
        <b/>
        <sz val="11"/>
        <color theme="1"/>
        <rFont val="Calibri"/>
        <charset val="134"/>
        <scheme val="minor"/>
      </rPr>
      <t>Always set to CCM right now</t>
    </r>
  </si>
  <si>
    <t>CCM Plan Parameters</t>
  </si>
  <si>
    <t>DC gain of the plant function</t>
  </si>
  <si>
    <t>Low Frequency Pole</t>
  </si>
  <si>
    <t>dB</t>
  </si>
  <si>
    <t>Gain of open loop at wp_Lf</t>
  </si>
  <si>
    <t>wz_rhp</t>
  </si>
  <si>
    <t>RHPz zero of boost converter</t>
  </si>
  <si>
    <t>ESR zero cause by output capacitance</t>
  </si>
  <si>
    <t>Se</t>
  </si>
  <si>
    <t>Sn</t>
  </si>
  <si>
    <t>wsl</t>
  </si>
  <si>
    <t>Q</t>
  </si>
  <si>
    <t>Compensation Components</t>
  </si>
  <si>
    <t>Top feedback resistor</t>
  </si>
  <si>
    <t>Bottom feedback resistor</t>
  </si>
  <si>
    <t>Adc_ea</t>
  </si>
  <si>
    <t>Error Amplifier Zero</t>
  </si>
  <si>
    <t>Error Amplifier pole at the origin</t>
  </si>
  <si>
    <t>Error Amplifier pole at high frequencies</t>
  </si>
  <si>
    <t xml:space="preserve"> DCMPlant Parameters</t>
  </si>
  <si>
    <t>DC_VIN_var_DCM</t>
  </si>
  <si>
    <t>Duty cycle of the converter in DCM</t>
  </si>
  <si>
    <t>"Note this include the COMP to PWM gain term (.145V/V)</t>
  </si>
  <si>
    <t>wp_lf_DCM</t>
  </si>
  <si>
    <t>EXCEL Constants / Values / IC Limits</t>
  </si>
  <si>
    <t>Excel Calculator based on LM5155 basis</t>
  </si>
  <si>
    <t xml:space="preserve">IC Duty Cycle Limitation: </t>
  </si>
  <si>
    <t>D_2p2_min</t>
  </si>
  <si>
    <t>Minimum max duty cycle at 2p2MHZ operation</t>
  </si>
  <si>
    <t>t_off_max</t>
  </si>
  <si>
    <t>Maximum forced off time</t>
  </si>
  <si>
    <t>D_2p2_nom</t>
  </si>
  <si>
    <t>T_off_nom</t>
  </si>
  <si>
    <t>nominal forced off time</t>
  </si>
  <si>
    <t>D_2p2_max</t>
  </si>
  <si>
    <t>T_off_min</t>
  </si>
  <si>
    <t>Minimum forced off time</t>
  </si>
  <si>
    <t>D_limit_min</t>
  </si>
  <si>
    <t>Min max duty cycle at low frequency</t>
  </si>
  <si>
    <t>D_limit_nom</t>
  </si>
  <si>
    <t>Nomminal max duty cycle at low frequency</t>
  </si>
  <si>
    <t>D_limit_max</t>
  </si>
  <si>
    <t>Maximum max duty cycle at low frequency</t>
  </si>
  <si>
    <t>Forced off time limit? [2 True, 1 False].</t>
  </si>
  <si>
    <t>Dc_Limit</t>
  </si>
  <si>
    <t>Max duty cycle of LM5155 at Fsw</t>
  </si>
  <si>
    <t>ton_min</t>
  </si>
  <si>
    <t>Typical Ton minimum value</t>
  </si>
  <si>
    <t>Slope Compensation</t>
  </si>
  <si>
    <t>Fsw:</t>
  </si>
  <si>
    <t>Internal slope compensation ramp</t>
  </si>
  <si>
    <t>Internal Slope compensation resistor</t>
  </si>
  <si>
    <t>Vcl</t>
  </si>
  <si>
    <t>Current Limit Value. See datsheet for Parameters</t>
  </si>
  <si>
    <t>Rsl_max</t>
  </si>
  <si>
    <t>Intenal step down of the divider</t>
  </si>
  <si>
    <t>Acs</t>
  </si>
  <si>
    <t>Current sense Amplifier Gain (1 for this device)</t>
  </si>
  <si>
    <t>Vref</t>
  </si>
  <si>
    <t>Reference voltage</t>
  </si>
  <si>
    <t>gm_ea</t>
  </si>
  <si>
    <t>A/V</t>
  </si>
  <si>
    <t>Error Amplifier Gain</t>
  </si>
  <si>
    <t>Soft-Start</t>
  </si>
  <si>
    <t>internally fixed</t>
  </si>
  <si>
    <t>UVLO Thresholds</t>
  </si>
  <si>
    <t>UV_rise</t>
  </si>
  <si>
    <t>NO UVLO PIN</t>
  </si>
  <si>
    <t>UV_fall</t>
  </si>
  <si>
    <t>UV_I_hyst</t>
  </si>
  <si>
    <t>VCC regulator</t>
  </si>
  <si>
    <t>Vcc</t>
  </si>
  <si>
    <t>Regulated output voltage of internal LDO. Can change if this is externally biased.</t>
  </si>
  <si>
    <t>IQ current</t>
  </si>
  <si>
    <t xml:space="preserve">IQ </t>
  </si>
  <si>
    <t>Non-switching IQ current</t>
  </si>
  <si>
    <t>200uA for redbull</t>
  </si>
  <si>
    <t>Operation Raange</t>
  </si>
  <si>
    <t>Vin_op_min</t>
  </si>
  <si>
    <t>Minimum operating voltage</t>
  </si>
  <si>
    <t>Vin_op_max</t>
  </si>
  <si>
    <t>Maximum BIAS pin operating voltage</t>
  </si>
  <si>
    <t>VIN_op_max_56</t>
  </si>
  <si>
    <t>Abs max BIAS</t>
  </si>
  <si>
    <t>Input Voltage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</si>
</sst>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26" formatCode="General"/>
    <numFmt numFmtId="176" formatCode="_-* #,##0.00_-;\-* #,##0.00_-;_-* &quot;-&quot;??_-;_-@_-"/>
    <numFmt numFmtId="177" formatCode="_-* #,##0.00\ &quot;zł&quot;_-;\-* #,##0.00\ &quot;zł&quot;_-;_-* &quot;-&quot;??\ &quot;zł&quot;_-;_-@_-"/>
    <numFmt numFmtId="178" formatCode="_-* #,##0_-;\-* #,##0_-;_-* &quot;-&quot;_-;_-@_-"/>
    <numFmt numFmtId="179" formatCode="_-* #,##0\ &quot;zł&quot;_-;\-* #,##0\ &quot;zł&quot;_-;_-* &quot;-&quot;\ &quot;zł&quot;_-;_-@_-"/>
    <numFmt numFmtId="180" formatCode="_(* #,##0.00_);_(* \(#,##0.00\);_(* &quot;-&quot;??_);_(@_)"/>
    <numFmt numFmtId="181" formatCode="0.000E+00"/>
    <numFmt numFmtId="182" formatCode="0.000"/>
    <numFmt numFmtId="183" formatCode="0.00000"/>
    <numFmt numFmtId="184" formatCode="0.0000E+00"/>
    <numFmt numFmtId="185" formatCode="0.0000"/>
    <numFmt numFmtId="186" formatCode="0.0"/>
    <numFmt numFmtId="187" formatCode="0.000000E+00"/>
  </numFmts>
  <fonts count="65">
    <font>
      <sz val="11"/>
      <color theme="1"/>
      <name val="Calibri"/>
      <charset val="134"/>
      <scheme val="minor"/>
    </font>
    <font>
      <b/>
      <sz val="22"/>
      <color indexed="44"/>
      <name val="Arial"/>
      <charset val="134"/>
    </font>
    <font>
      <b/>
      <sz val="10"/>
      <name val="Arial"/>
      <charset val="134"/>
    </font>
    <font>
      <sz val="10"/>
      <name val="Arial"/>
      <charset val="134"/>
    </font>
    <font>
      <b/>
      <sz val="12"/>
      <color theme="1"/>
      <name val="Calibri"/>
      <charset val="134"/>
      <scheme val="minor"/>
    </font>
    <font>
      <sz val="11"/>
      <color theme="1"/>
      <name val="Calibri"/>
      <charset val="134"/>
    </font>
    <font>
      <b/>
      <sz val="11"/>
      <color theme="1"/>
      <name val="Calibri"/>
      <charset val="134"/>
      <scheme val="minor"/>
    </font>
    <font>
      <b/>
      <sz val="10"/>
      <color rgb="FF00B0F0"/>
      <name val="Arial"/>
      <charset val="134"/>
    </font>
    <font>
      <b/>
      <sz val="11"/>
      <color rgb="FF00B0F0"/>
      <name val="Calibri"/>
      <charset val="134"/>
      <scheme val="minor"/>
    </font>
    <font>
      <b/>
      <sz val="12"/>
      <color rgb="FF00B0F0"/>
      <name val="Calibri"/>
      <charset val="134"/>
      <scheme val="minor"/>
    </font>
    <font>
      <b/>
      <sz val="12"/>
      <color rgb="FF0000FF"/>
      <name val="Arial"/>
      <charset val="134"/>
    </font>
    <font>
      <b/>
      <sz val="11"/>
      <color rgb="FF0070C0"/>
      <name val="Calibri"/>
      <charset val="134"/>
      <scheme val="minor"/>
    </font>
    <font>
      <sz val="11"/>
      <color rgb="FF0070C0"/>
      <name val="Calibri"/>
      <charset val="134"/>
      <scheme val="minor"/>
    </font>
    <font>
      <b/>
      <u/>
      <sz val="11"/>
      <color theme="1"/>
      <name val="Calibri"/>
      <charset val="134"/>
      <scheme val="minor"/>
    </font>
    <font>
      <sz val="11"/>
      <name val="Calibri"/>
      <charset val="134"/>
      <scheme val="minor"/>
    </font>
    <font>
      <u/>
      <sz val="11"/>
      <color theme="1"/>
      <name val="Calibri"/>
      <charset val="134"/>
      <scheme val="minor"/>
    </font>
    <font>
      <i/>
      <sz val="11"/>
      <color theme="1"/>
      <name val="Calibri"/>
      <charset val="134"/>
      <scheme val="minor"/>
    </font>
    <font>
      <b/>
      <sz val="11"/>
      <color theme="3" tint="0.399975585192419"/>
      <name val="Calibri"/>
      <charset val="134"/>
      <scheme val="minor"/>
    </font>
    <font>
      <sz val="10"/>
      <name val="Calibri"/>
      <charset val="134"/>
      <scheme val="minor"/>
    </font>
    <font>
      <sz val="11"/>
      <color theme="1"/>
      <name val="Arial"/>
      <charset val="134"/>
    </font>
    <font>
      <b/>
      <sz val="10"/>
      <color theme="1"/>
      <name val="Arial"/>
      <charset val="134"/>
    </font>
    <font>
      <sz val="10"/>
      <color theme="1"/>
      <name val="Arial"/>
      <charset val="134"/>
    </font>
    <font>
      <b/>
      <u/>
      <sz val="10"/>
      <color theme="10"/>
      <name val="Arial"/>
      <charset val="134"/>
    </font>
    <font>
      <b/>
      <sz val="10"/>
      <color theme="0"/>
      <name val="Arial"/>
      <charset val="134"/>
    </font>
    <font>
      <b/>
      <u/>
      <sz val="11"/>
      <color theme="10"/>
      <name val="Arial"/>
      <charset val="134"/>
    </font>
    <font>
      <sz val="28"/>
      <color theme="0"/>
      <name val="Calibri"/>
      <charset val="134"/>
      <scheme val="minor"/>
    </font>
    <font>
      <b/>
      <sz val="11"/>
      <color theme="0"/>
      <name val="Calibri"/>
      <charset val="134"/>
      <scheme val="minor"/>
    </font>
    <font>
      <u/>
      <sz val="11"/>
      <color rgb="FF800080"/>
      <name val="Calibri"/>
      <charset val="134"/>
      <scheme val="minor"/>
    </font>
    <font>
      <sz val="10"/>
      <color theme="1"/>
      <name val="Calibri"/>
      <charset val="134"/>
      <scheme val="minor"/>
    </font>
    <font>
      <sz val="11"/>
      <color rgb="FFFF0000"/>
      <name val="Calibri"/>
      <charset val="134"/>
      <scheme val="minor"/>
    </font>
    <font>
      <sz val="18"/>
      <color theme="0"/>
      <name val="Calibri"/>
      <charset val="134"/>
      <scheme val="minor"/>
    </font>
    <font>
      <b/>
      <sz val="11"/>
      <color theme="4"/>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vertAlign val="subscript"/>
      <sz val="10"/>
      <color theme="1"/>
      <name val="Calibri"/>
      <charset val="134"/>
      <scheme val="minor"/>
    </font>
    <font>
      <vertAlign val="subscript"/>
      <sz val="11"/>
      <color theme="1"/>
      <name val="Calibri"/>
      <charset val="134"/>
      <scheme val="minor"/>
    </font>
    <font>
      <vertAlign val="subscript"/>
      <sz val="10"/>
      <name val="Arial"/>
      <charset val="134"/>
    </font>
    <font>
      <vertAlign val="subscript"/>
      <sz val="11"/>
      <name val="Calibri"/>
      <charset val="134"/>
      <scheme val="minor"/>
    </font>
    <font>
      <vertAlign val="subscript"/>
      <sz val="11"/>
      <color theme="1"/>
      <name val="Calibri"/>
      <charset val="134"/>
    </font>
    <font>
      <b/>
      <vertAlign val="subscript"/>
      <sz val="11"/>
      <color rgb="FF0070C0"/>
      <name val="Calibri"/>
      <charset val="134"/>
      <scheme val="minor"/>
    </font>
    <font>
      <vertAlign val="subscript"/>
      <sz val="9"/>
      <name val="Tahoma"/>
      <charset val="134"/>
    </font>
    <font>
      <b/>
      <sz val="11"/>
      <color indexed="10"/>
      <name val="Tahoma"/>
      <charset val="134"/>
    </font>
    <font>
      <sz val="11"/>
      <name val="Tahoma"/>
      <charset val="134"/>
    </font>
    <font>
      <sz val="9"/>
      <name val="Tahoma"/>
      <charset val="134"/>
    </font>
    <font>
      <sz val="9"/>
      <color indexed="10"/>
      <name val="Tahoma"/>
      <charset val="134"/>
    </font>
    <font>
      <b/>
      <sz val="9"/>
      <name val="Tahoma"/>
      <charset val="134"/>
    </font>
    <font>
      <sz val="11"/>
      <color indexed="10"/>
      <name val="Calibri"/>
      <charset val="0"/>
      <scheme val="minor"/>
    </font>
    <font>
      <b/>
      <sz val="9"/>
      <color indexed="10"/>
      <name val="Tahoma"/>
      <charset val="134"/>
    </font>
  </fonts>
  <fills count="50">
    <fill>
      <patternFill patternType="none"/>
    </fill>
    <fill>
      <patternFill patternType="gray125"/>
    </fill>
    <fill>
      <patternFill patternType="solid">
        <fgColor indexed="8"/>
        <bgColor indexed="64"/>
      </patternFill>
    </fill>
    <fill>
      <patternFill patternType="solid">
        <fgColor indexed="22"/>
        <bgColor indexed="64"/>
      </patternFill>
    </fill>
    <fill>
      <patternFill patternType="solid">
        <fgColor indexed="52"/>
        <bgColor indexed="64"/>
      </patternFill>
    </fill>
    <fill>
      <patternFill patternType="solid">
        <fgColor indexed="5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indexed="44"/>
        <bgColor indexed="64"/>
      </patternFill>
    </fill>
    <fill>
      <patternFill patternType="solid">
        <fgColor theme="0" tint="-0.349986266670736"/>
        <bgColor indexed="64"/>
      </patternFill>
    </fill>
    <fill>
      <patternFill patternType="solid">
        <fgColor theme="5" tint="0.799981688894314"/>
        <bgColor indexed="64"/>
      </patternFill>
    </fill>
    <fill>
      <patternFill patternType="solid">
        <fgColor rgb="FFFFFF00"/>
        <bgColor indexed="64"/>
      </patternFill>
    </fill>
    <fill>
      <patternFill patternType="solid">
        <fgColor theme="0"/>
        <bgColor indexed="64"/>
      </patternFill>
    </fill>
    <fill>
      <patternFill patternType="solid">
        <fgColor rgb="FFDE0000"/>
        <bgColor indexed="64"/>
      </patternFill>
    </fill>
    <fill>
      <patternFill patternType="solid">
        <fgColor theme="1"/>
        <bgColor indexed="64"/>
      </patternFill>
    </fill>
    <fill>
      <patternFill patternType="solid">
        <fgColor theme="2" tint="-0.899990844447157"/>
        <bgColor indexed="64"/>
      </patternFill>
    </fill>
    <fill>
      <patternFill patternType="solid">
        <fgColor rgb="FFFF0000"/>
        <bgColor indexed="64"/>
      </patternFill>
    </fill>
    <fill>
      <patternFill patternType="solid">
        <fgColor theme="0" tint="-0.499984740745262"/>
        <bgColor indexed="64"/>
      </patternFill>
    </fill>
    <fill>
      <patternFill patternType="solid">
        <fgColor theme="1" tint="0.049989318521683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5">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top/>
      <bottom/>
      <diagonal/>
    </border>
    <border>
      <left/>
      <right style="medium">
        <color auto="1"/>
      </right>
      <top/>
      <bottom/>
      <diagonal/>
    </border>
    <border>
      <left/>
      <right/>
      <top style="medium">
        <color auto="1"/>
      </top>
      <bottom/>
      <diagonal/>
    </border>
    <border>
      <left style="medium">
        <color auto="1"/>
      </left>
      <right/>
      <top style="medium">
        <color auto="1"/>
      </top>
      <bottom/>
      <diagonal/>
    </border>
    <border>
      <left/>
      <right style="medium">
        <color auto="1"/>
      </right>
      <top style="medium">
        <color auto="1"/>
      </top>
      <bottom/>
      <diagonal/>
    </border>
    <border>
      <left/>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6">
    <xf numFmtId="26"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26" fontId="32" fillId="0" borderId="0" applyNumberFormat="0" applyFill="0" applyBorder="0" applyAlignment="0" applyProtection="0"/>
    <xf numFmtId="26" fontId="33" fillId="0" borderId="0" applyNumberFormat="0" applyFill="0" applyBorder="0" applyAlignment="0" applyProtection="0">
      <alignment vertical="center"/>
    </xf>
    <xf numFmtId="26" fontId="0" fillId="20" borderId="27" applyNumberFormat="0" applyFont="0" applyAlignment="0" applyProtection="0">
      <alignment vertical="center"/>
    </xf>
    <xf numFmtId="26" fontId="34" fillId="0" borderId="0" applyNumberFormat="0" applyFill="0" applyBorder="0" applyAlignment="0" applyProtection="0">
      <alignment vertical="center"/>
    </xf>
    <xf numFmtId="26" fontId="35" fillId="0" borderId="0" applyNumberFormat="0" applyFill="0" applyBorder="0" applyAlignment="0" applyProtection="0">
      <alignment vertical="center"/>
    </xf>
    <xf numFmtId="26" fontId="36" fillId="0" borderId="0" applyNumberFormat="0" applyFill="0" applyBorder="0" applyAlignment="0" applyProtection="0">
      <alignment vertical="center"/>
    </xf>
    <xf numFmtId="26" fontId="37" fillId="0" borderId="28" applyNumberFormat="0" applyFill="0" applyAlignment="0" applyProtection="0">
      <alignment vertical="center"/>
    </xf>
    <xf numFmtId="26" fontId="38" fillId="0" borderId="28" applyNumberFormat="0" applyFill="0" applyAlignment="0" applyProtection="0">
      <alignment vertical="center"/>
    </xf>
    <xf numFmtId="26" fontId="39" fillId="0" borderId="29" applyNumberFormat="0" applyFill="0" applyAlignment="0" applyProtection="0">
      <alignment vertical="center"/>
    </xf>
    <xf numFmtId="26" fontId="39" fillId="0" borderId="0" applyNumberFormat="0" applyFill="0" applyBorder="0" applyAlignment="0" applyProtection="0">
      <alignment vertical="center"/>
    </xf>
    <xf numFmtId="26" fontId="40" fillId="21" borderId="30" applyNumberFormat="0" applyAlignment="0" applyProtection="0">
      <alignment vertical="center"/>
    </xf>
    <xf numFmtId="26" fontId="41" fillId="22" borderId="31" applyNumberFormat="0" applyAlignment="0" applyProtection="0">
      <alignment vertical="center"/>
    </xf>
    <xf numFmtId="26" fontId="42" fillId="22" borderId="30" applyNumberFormat="0" applyAlignment="0" applyProtection="0">
      <alignment vertical="center"/>
    </xf>
    <xf numFmtId="26" fontId="43" fillId="23" borderId="32" applyNumberFormat="0" applyAlignment="0" applyProtection="0">
      <alignment vertical="center"/>
    </xf>
    <xf numFmtId="26" fontId="44" fillId="0" borderId="33" applyNumberFormat="0" applyFill="0" applyAlignment="0" applyProtection="0">
      <alignment vertical="center"/>
    </xf>
    <xf numFmtId="26" fontId="45" fillId="0" borderId="34" applyNumberFormat="0" applyFill="0" applyAlignment="0" applyProtection="0">
      <alignment vertical="center"/>
    </xf>
    <xf numFmtId="26" fontId="46" fillId="24" borderId="0" applyNumberFormat="0" applyBorder="0" applyAlignment="0" applyProtection="0">
      <alignment vertical="center"/>
    </xf>
    <xf numFmtId="26" fontId="47" fillId="25" borderId="0" applyNumberFormat="0" applyBorder="0" applyAlignment="0" applyProtection="0">
      <alignment vertical="center"/>
    </xf>
    <xf numFmtId="26" fontId="48" fillId="26" borderId="0" applyNumberFormat="0" applyBorder="0" applyAlignment="0" applyProtection="0">
      <alignment vertical="center"/>
    </xf>
    <xf numFmtId="26" fontId="49" fillId="27" borderId="0" applyNumberFormat="0" applyBorder="0" applyAlignment="0" applyProtection="0">
      <alignment vertical="center"/>
    </xf>
    <xf numFmtId="26" fontId="50" fillId="28" borderId="0" applyNumberFormat="0" applyBorder="0" applyAlignment="0" applyProtection="0">
      <alignment vertical="center"/>
    </xf>
    <xf numFmtId="26" fontId="50" fillId="29" borderId="0" applyNumberFormat="0" applyBorder="0" applyAlignment="0" applyProtection="0">
      <alignment vertical="center"/>
    </xf>
    <xf numFmtId="26" fontId="49" fillId="30" borderId="0" applyNumberFormat="0" applyBorder="0" applyAlignment="0" applyProtection="0">
      <alignment vertical="center"/>
    </xf>
    <xf numFmtId="26" fontId="49" fillId="31" borderId="0" applyNumberFormat="0" applyBorder="0" applyAlignment="0" applyProtection="0">
      <alignment vertical="center"/>
    </xf>
    <xf numFmtId="26" fontId="50" fillId="11" borderId="0" applyNumberFormat="0" applyBorder="0" applyAlignment="0" applyProtection="0">
      <alignment vertical="center"/>
    </xf>
    <xf numFmtId="26" fontId="50" fillId="32" borderId="0" applyNumberFormat="0" applyBorder="0" applyAlignment="0" applyProtection="0">
      <alignment vertical="center"/>
    </xf>
    <xf numFmtId="26" fontId="49" fillId="33" borderId="0" applyNumberFormat="0" applyBorder="0" applyAlignment="0" applyProtection="0">
      <alignment vertical="center"/>
    </xf>
    <xf numFmtId="26" fontId="49" fillId="34" borderId="0" applyNumberFormat="0" applyBorder="0" applyAlignment="0" applyProtection="0">
      <alignment vertical="center"/>
    </xf>
    <xf numFmtId="26" fontId="50" fillId="35" borderId="0" applyNumberFormat="0" applyBorder="0" applyAlignment="0" applyProtection="0">
      <alignment vertical="center"/>
    </xf>
    <xf numFmtId="26" fontId="50" fillId="36" borderId="0" applyNumberFormat="0" applyBorder="0" applyAlignment="0" applyProtection="0">
      <alignment vertical="center"/>
    </xf>
    <xf numFmtId="26" fontId="49" fillId="37" borderId="0" applyNumberFormat="0" applyBorder="0" applyAlignment="0" applyProtection="0">
      <alignment vertical="center"/>
    </xf>
    <xf numFmtId="26" fontId="49" fillId="38" borderId="0" applyNumberFormat="0" applyBorder="0" applyAlignment="0" applyProtection="0">
      <alignment vertical="center"/>
    </xf>
    <xf numFmtId="26" fontId="50" fillId="39" borderId="0" applyNumberFormat="0" applyBorder="0" applyAlignment="0" applyProtection="0">
      <alignment vertical="center"/>
    </xf>
    <xf numFmtId="26" fontId="50" fillId="40" borderId="0" applyNumberFormat="0" applyBorder="0" applyAlignment="0" applyProtection="0">
      <alignment vertical="center"/>
    </xf>
    <xf numFmtId="26" fontId="49" fillId="41" borderId="0" applyNumberFormat="0" applyBorder="0" applyAlignment="0" applyProtection="0">
      <alignment vertical="center"/>
    </xf>
    <xf numFmtId="26" fontId="49" fillId="42" borderId="0" applyNumberFormat="0" applyBorder="0" applyAlignment="0" applyProtection="0">
      <alignment vertical="center"/>
    </xf>
    <xf numFmtId="26" fontId="50" fillId="43" borderId="0" applyNumberFormat="0" applyBorder="0" applyAlignment="0" applyProtection="0">
      <alignment vertical="center"/>
    </xf>
    <xf numFmtId="26" fontId="50" fillId="44" borderId="0" applyNumberFormat="0" applyBorder="0" applyAlignment="0" applyProtection="0">
      <alignment vertical="center"/>
    </xf>
    <xf numFmtId="26" fontId="49" fillId="45" borderId="0" applyNumberFormat="0" applyBorder="0" applyAlignment="0" applyProtection="0">
      <alignment vertical="center"/>
    </xf>
    <xf numFmtId="26" fontId="49" fillId="46" borderId="0" applyNumberFormat="0" applyBorder="0" applyAlignment="0" applyProtection="0">
      <alignment vertical="center"/>
    </xf>
    <xf numFmtId="26" fontId="50" fillId="47" borderId="0" applyNumberFormat="0" applyBorder="0" applyAlignment="0" applyProtection="0">
      <alignment vertical="center"/>
    </xf>
    <xf numFmtId="26" fontId="50" fillId="48" borderId="0" applyNumberFormat="0" applyBorder="0" applyAlignment="0" applyProtection="0">
      <alignment vertical="center"/>
    </xf>
    <xf numFmtId="26" fontId="49" fillId="49" borderId="0" applyNumberFormat="0" applyBorder="0" applyAlignment="0" applyProtection="0">
      <alignment vertical="center"/>
    </xf>
    <xf numFmtId="180" fontId="0" fillId="0" borderId="0" applyFont="0" applyFill="0" applyBorder="0" applyAlignment="0" applyProtection="0"/>
    <xf numFmtId="180" fontId="3" fillId="0" borderId="0" applyFont="0" applyFill="0" applyBorder="0" applyAlignment="0" applyProtection="0"/>
    <xf numFmtId="26" fontId="3" fillId="0" borderId="0"/>
    <xf numFmtId="26" fontId="0" fillId="0" borderId="0"/>
    <xf numFmtId="26" fontId="3" fillId="0" borderId="0"/>
    <xf numFmtId="26" fontId="3" fillId="0" borderId="0"/>
    <xf numFmtId="26" fontId="3" fillId="0" borderId="0"/>
  </cellStyleXfs>
  <cellXfs count="271">
    <xf numFmtId="26" fontId="0" fillId="0" borderId="0" xfId="0"/>
    <xf numFmtId="26" fontId="1" fillId="2" borderId="0" xfId="51" applyFont="1" applyFill="1" applyAlignment="1">
      <alignment horizontal="center"/>
    </xf>
    <xf numFmtId="26" fontId="2" fillId="0" borderId="0" xfId="51" applyFont="1" applyFill="1" applyAlignment="1">
      <alignment horizontal="center"/>
    </xf>
    <xf numFmtId="26" fontId="2" fillId="3" borderId="0" xfId="51" applyFont="1" applyFill="1" applyAlignment="1">
      <alignment horizontal="center"/>
    </xf>
    <xf numFmtId="26" fontId="3" fillId="0" borderId="0" xfId="51"/>
    <xf numFmtId="26" fontId="2" fillId="4" borderId="0" xfId="51" applyFont="1" applyFill="1" applyAlignment="1">
      <alignment horizontal="center"/>
    </xf>
    <xf numFmtId="26" fontId="2" fillId="5" borderId="0" xfId="51" applyFont="1" applyFill="1" applyAlignment="1">
      <alignment horizontal="center"/>
    </xf>
    <xf numFmtId="26" fontId="2" fillId="0" borderId="0" xfId="51" applyFont="1"/>
    <xf numFmtId="26" fontId="2" fillId="0" borderId="0" xfId="51" applyFont="1" applyAlignment="1">
      <alignment horizontal="center"/>
    </xf>
    <xf numFmtId="26" fontId="3" fillId="0" borderId="0" xfId="51" applyFont="1"/>
    <xf numFmtId="26" fontId="0" fillId="6" borderId="0" xfId="0" applyFill="1"/>
    <xf numFmtId="181" fontId="0" fillId="7" borderId="0" xfId="0" applyNumberFormat="1" applyFill="1"/>
    <xf numFmtId="26" fontId="0" fillId="7" borderId="0" xfId="0" applyFill="1"/>
    <xf numFmtId="26" fontId="0" fillId="0" borderId="0" xfId="0" applyFill="1"/>
    <xf numFmtId="26" fontId="4" fillId="0" borderId="0" xfId="0" applyFont="1"/>
    <xf numFmtId="26" fontId="0" fillId="8" borderId="0" xfId="0" applyFill="1"/>
    <xf numFmtId="26" fontId="5" fillId="0" borderId="0" xfId="0" applyFont="1"/>
    <xf numFmtId="26" fontId="6" fillId="0" borderId="0" xfId="0" applyFont="1"/>
    <xf numFmtId="2" fontId="0" fillId="0" borderId="0" xfId="0" applyNumberFormat="1" applyBorder="1"/>
    <xf numFmtId="26" fontId="6" fillId="7" borderId="0" xfId="0" applyFont="1" applyFill="1" applyAlignment="1">
      <alignment horizontal="center"/>
    </xf>
    <xf numFmtId="26" fontId="2" fillId="0" borderId="0" xfId="51" applyFont="1" applyFill="1" applyAlignment="1">
      <alignment horizontal="right"/>
    </xf>
    <xf numFmtId="26" fontId="3" fillId="0" borderId="0" xfId="51" applyFont="1" applyFill="1" applyAlignment="1">
      <alignment horizontal="center"/>
    </xf>
    <xf numFmtId="26" fontId="2" fillId="0" borderId="0" xfId="51" applyFont="1" applyFill="1" applyAlignment="1">
      <alignment horizontal="left"/>
    </xf>
    <xf numFmtId="26" fontId="0" fillId="0" borderId="1" xfId="0" applyBorder="1"/>
    <xf numFmtId="26" fontId="0" fillId="0" borderId="2" xfId="0" applyBorder="1"/>
    <xf numFmtId="26" fontId="6" fillId="0" borderId="3" xfId="0" applyFont="1" applyBorder="1" applyAlignment="1">
      <alignment horizontal="center"/>
    </xf>
    <xf numFmtId="26" fontId="6" fillId="0" borderId="2" xfId="0" applyFont="1" applyBorder="1" applyAlignment="1">
      <alignment horizontal="center"/>
    </xf>
    <xf numFmtId="26" fontId="6" fillId="0" borderId="1" xfId="0" applyFont="1" applyBorder="1" applyAlignment="1">
      <alignment horizontal="center"/>
    </xf>
    <xf numFmtId="26" fontId="6" fillId="0" borderId="4" xfId="0" applyFont="1" applyBorder="1" applyAlignment="1">
      <alignment horizontal="center"/>
    </xf>
    <xf numFmtId="26" fontId="6" fillId="0" borderId="0" xfId="0" applyFont="1" applyBorder="1" applyAlignment="1">
      <alignment horizontal="center"/>
    </xf>
    <xf numFmtId="26" fontId="0" fillId="0" borderId="4" xfId="0" applyBorder="1"/>
    <xf numFmtId="26" fontId="0" fillId="0" borderId="5" xfId="0" applyBorder="1"/>
    <xf numFmtId="26" fontId="0" fillId="0" borderId="0" xfId="0" applyBorder="1"/>
    <xf numFmtId="26" fontId="3" fillId="0" borderId="0" xfId="51" applyBorder="1" applyAlignment="1">
      <alignment horizontal="center"/>
    </xf>
    <xf numFmtId="26" fontId="0" fillId="0" borderId="0" xfId="0" applyBorder="1" applyAlignment="1">
      <alignment horizontal="center"/>
    </xf>
    <xf numFmtId="26" fontId="0" fillId="0" borderId="4" xfId="0" applyBorder="1" applyAlignment="1">
      <alignment horizontal="center"/>
    </xf>
    <xf numFmtId="26" fontId="0" fillId="0" borderId="5" xfId="0" applyBorder="1" applyAlignment="1">
      <alignment horizontal="center"/>
    </xf>
    <xf numFmtId="26" fontId="0" fillId="0" borderId="6" xfId="0" applyBorder="1" applyAlignment="1">
      <alignment horizontal="center"/>
    </xf>
    <xf numFmtId="26" fontId="0" fillId="0" borderId="7" xfId="0" applyBorder="1" applyAlignment="1">
      <alignment horizontal="center"/>
    </xf>
    <xf numFmtId="26" fontId="0" fillId="0" borderId="8" xfId="0" applyBorder="1" applyAlignment="1">
      <alignment horizontal="center"/>
    </xf>
    <xf numFmtId="26" fontId="0" fillId="0" borderId="0" xfId="0" applyAlignment="1">
      <alignment horizontal="center"/>
    </xf>
    <xf numFmtId="26" fontId="2" fillId="0" borderId="0" xfId="51" applyFont="1" applyFill="1"/>
    <xf numFmtId="26" fontId="3" fillId="0" borderId="0" xfId="51" applyBorder="1"/>
    <xf numFmtId="26" fontId="3" fillId="0" borderId="0" xfId="51" applyFill="1" applyBorder="1"/>
    <xf numFmtId="26" fontId="3" fillId="0" borderId="4" xfId="51" applyFill="1" applyBorder="1"/>
    <xf numFmtId="26" fontId="3" fillId="0" borderId="5" xfId="51" applyFill="1" applyBorder="1"/>
    <xf numFmtId="26" fontId="3" fillId="0" borderId="0" xfId="51" applyFont="1" applyFill="1" applyBorder="1"/>
    <xf numFmtId="26" fontId="3" fillId="0" borderId="9" xfId="51" applyFont="1" applyBorder="1"/>
    <xf numFmtId="26" fontId="3" fillId="0" borderId="10" xfId="51" applyFill="1" applyBorder="1"/>
    <xf numFmtId="26" fontId="3" fillId="0" borderId="9" xfId="51" applyFill="1" applyBorder="1"/>
    <xf numFmtId="26" fontId="3" fillId="0" borderId="11" xfId="51" applyFill="1" applyBorder="1"/>
    <xf numFmtId="182" fontId="3" fillId="0" borderId="3" xfId="51" applyNumberFormat="1" applyBorder="1"/>
    <xf numFmtId="26" fontId="3" fillId="0" borderId="3" xfId="51" applyBorder="1"/>
    <xf numFmtId="26" fontId="0" fillId="0" borderId="3" xfId="0" applyBorder="1"/>
    <xf numFmtId="26" fontId="3" fillId="0" borderId="1" xfId="51" applyBorder="1"/>
    <xf numFmtId="182" fontId="0" fillId="0" borderId="3" xfId="0" applyNumberFormat="1" applyBorder="1"/>
    <xf numFmtId="26" fontId="7" fillId="0" borderId="0" xfId="51" applyFont="1"/>
    <xf numFmtId="26" fontId="0" fillId="0" borderId="7" xfId="0" applyBorder="1"/>
    <xf numFmtId="1" fontId="0" fillId="0" borderId="8" xfId="0" applyNumberFormat="1" applyBorder="1"/>
    <xf numFmtId="182" fontId="3" fillId="0" borderId="6" xfId="51" applyNumberFormat="1" applyBorder="1"/>
    <xf numFmtId="26" fontId="3" fillId="0" borderId="6" xfId="51" applyBorder="1"/>
    <xf numFmtId="26" fontId="0" fillId="0" borderId="6" xfId="0" applyBorder="1"/>
    <xf numFmtId="26" fontId="3" fillId="0" borderId="7" xfId="51" applyBorder="1"/>
    <xf numFmtId="182" fontId="0" fillId="0" borderId="6" xfId="0" applyNumberFormat="1" applyBorder="1"/>
    <xf numFmtId="26" fontId="0" fillId="0" borderId="8" xfId="0" applyBorder="1"/>
    <xf numFmtId="1" fontId="0" fillId="0" borderId="5" xfId="0" applyNumberFormat="1" applyBorder="1"/>
    <xf numFmtId="182" fontId="3" fillId="0" borderId="0" xfId="51" applyNumberFormat="1" applyBorder="1"/>
    <xf numFmtId="26" fontId="3" fillId="0" borderId="4" xfId="51" applyBorder="1"/>
    <xf numFmtId="182" fontId="0" fillId="0" borderId="0" xfId="0" applyNumberFormat="1" applyBorder="1"/>
    <xf numFmtId="26" fontId="0" fillId="0" borderId="10" xfId="0" applyBorder="1"/>
    <xf numFmtId="1" fontId="0" fillId="0" borderId="11" xfId="0" applyNumberFormat="1" applyBorder="1"/>
    <xf numFmtId="182" fontId="3" fillId="0" borderId="9" xfId="51" applyNumberFormat="1" applyBorder="1"/>
    <xf numFmtId="26" fontId="3" fillId="0" borderId="9" xfId="51" applyBorder="1"/>
    <xf numFmtId="26" fontId="0" fillId="0" borderId="9" xfId="0" applyBorder="1"/>
    <xf numFmtId="26" fontId="3" fillId="0" borderId="10" xfId="51" applyBorder="1"/>
    <xf numFmtId="182" fontId="0" fillId="0" borderId="9" xfId="0" applyNumberFormat="1" applyBorder="1"/>
    <xf numFmtId="26" fontId="0" fillId="0" borderId="11" xfId="0" applyBorder="1"/>
    <xf numFmtId="26" fontId="0" fillId="9" borderId="0" xfId="0" applyFill="1"/>
    <xf numFmtId="2" fontId="0" fillId="0" borderId="0" xfId="0" applyNumberFormat="1"/>
    <xf numFmtId="26" fontId="8" fillId="0" borderId="0" xfId="0" applyFont="1"/>
    <xf numFmtId="26" fontId="0" fillId="0" borderId="0" xfId="0" applyProtection="1">
      <protection hidden="1"/>
    </xf>
    <xf numFmtId="2" fontId="0" fillId="0" borderId="1" xfId="0" applyNumberFormat="1" applyBorder="1"/>
    <xf numFmtId="2" fontId="0" fillId="0" borderId="4" xfId="0" applyNumberFormat="1" applyBorder="1"/>
    <xf numFmtId="2" fontId="0" fillId="0" borderId="10" xfId="0" applyNumberFormat="1" applyBorder="1"/>
    <xf numFmtId="26" fontId="3" fillId="0" borderId="9" xfId="51" applyFont="1" applyFill="1" applyBorder="1"/>
    <xf numFmtId="26" fontId="0" fillId="10" borderId="0" xfId="0" applyFill="1"/>
    <xf numFmtId="182" fontId="3" fillId="0" borderId="0" xfId="51" applyNumberFormat="1"/>
    <xf numFmtId="26" fontId="9" fillId="0" borderId="0" xfId="0" applyFont="1"/>
    <xf numFmtId="182" fontId="0" fillId="7" borderId="0" xfId="0" applyNumberFormat="1" applyFill="1"/>
    <xf numFmtId="1" fontId="0" fillId="7" borderId="0" xfId="0" applyNumberFormat="1" applyFill="1"/>
    <xf numFmtId="2" fontId="0" fillId="7" borderId="0" xfId="0" applyNumberFormat="1" applyFill="1"/>
    <xf numFmtId="26" fontId="2" fillId="0" borderId="0" xfId="0" applyFont="1" applyBorder="1"/>
    <xf numFmtId="2" fontId="3" fillId="0" borderId="0" xfId="0" applyNumberFormat="1" applyFont="1" applyBorder="1"/>
    <xf numFmtId="26" fontId="0" fillId="0" borderId="0" xfId="0" applyBorder="1" applyAlignment="1">
      <alignment horizontal="left"/>
    </xf>
    <xf numFmtId="26" fontId="2" fillId="0" borderId="0" xfId="0" applyFont="1" applyBorder="1" applyAlignment="1">
      <alignment horizontal="left"/>
    </xf>
    <xf numFmtId="182" fontId="0" fillId="0" borderId="0" xfId="0" applyNumberFormat="1"/>
    <xf numFmtId="26" fontId="0" fillId="0" borderId="12" xfId="0" applyBorder="1"/>
    <xf numFmtId="26" fontId="0" fillId="0" borderId="13" xfId="0" applyBorder="1" applyAlignment="1">
      <alignment horizontal="center"/>
    </xf>
    <xf numFmtId="26" fontId="0" fillId="0" borderId="14" xfId="0" applyBorder="1" applyAlignment="1">
      <alignment horizontal="center"/>
    </xf>
    <xf numFmtId="26" fontId="0" fillId="0" borderId="15" xfId="0" applyBorder="1" applyAlignment="1">
      <alignment horizontal="center"/>
    </xf>
    <xf numFmtId="26" fontId="0" fillId="0" borderId="13" xfId="0" applyBorder="1" applyAlignment="1">
      <alignment horizontal="center" wrapText="1"/>
    </xf>
    <xf numFmtId="26" fontId="0" fillId="0" borderId="14" xfId="0" applyBorder="1" applyAlignment="1">
      <alignment horizontal="center" wrapText="1"/>
    </xf>
    <xf numFmtId="26" fontId="0" fillId="0" borderId="15" xfId="0" applyBorder="1" applyAlignment="1">
      <alignment horizontal="center" wrapText="1"/>
    </xf>
    <xf numFmtId="26" fontId="0" fillId="0" borderId="14" xfId="0" applyBorder="1"/>
    <xf numFmtId="26" fontId="0" fillId="0" borderId="15" xfId="0" applyBorder="1"/>
    <xf numFmtId="26" fontId="0" fillId="0" borderId="16" xfId="0" applyBorder="1"/>
    <xf numFmtId="26" fontId="0" fillId="0" borderId="17" xfId="0" applyBorder="1"/>
    <xf numFmtId="26" fontId="0" fillId="0" borderId="18" xfId="0" applyBorder="1"/>
    <xf numFmtId="26" fontId="0" fillId="0" borderId="16" xfId="0" applyFill="1" applyBorder="1"/>
    <xf numFmtId="26" fontId="0" fillId="0" borderId="17" xfId="0" applyFill="1" applyBorder="1"/>
    <xf numFmtId="26" fontId="0" fillId="11" borderId="17" xfId="0" applyFill="1" applyBorder="1"/>
    <xf numFmtId="26" fontId="0" fillId="11" borderId="18" xfId="0" applyFill="1" applyBorder="1"/>
    <xf numFmtId="26" fontId="0" fillId="0" borderId="18" xfId="0" applyFill="1" applyBorder="1"/>
    <xf numFmtId="26" fontId="0" fillId="0" borderId="19" xfId="0" applyBorder="1"/>
    <xf numFmtId="26" fontId="0" fillId="0" borderId="20" xfId="0" applyBorder="1"/>
    <xf numFmtId="26" fontId="0" fillId="0" borderId="21" xfId="0" applyBorder="1"/>
    <xf numFmtId="26" fontId="10" fillId="0" borderId="0" xfId="51" applyFont="1" applyBorder="1"/>
    <xf numFmtId="26" fontId="2" fillId="0" borderId="0" xfId="51" applyFont="1" applyBorder="1"/>
    <xf numFmtId="26" fontId="2" fillId="0" borderId="0" xfId="51" applyFont="1" applyBorder="1" applyAlignment="1">
      <alignment horizontal="center"/>
    </xf>
    <xf numFmtId="2" fontId="0" fillId="8" borderId="0" xfId="0" applyNumberFormat="1" applyFill="1"/>
    <xf numFmtId="26" fontId="0" fillId="12" borderId="0" xfId="0" applyFill="1"/>
    <xf numFmtId="26" fontId="0" fillId="0" borderId="0" xfId="0" applyFont="1"/>
    <xf numFmtId="26" fontId="11" fillId="0" borderId="0" xfId="0" applyFont="1" applyFill="1" applyBorder="1"/>
    <xf numFmtId="26" fontId="12" fillId="0" borderId="0" xfId="0" applyFont="1" applyFill="1" applyBorder="1"/>
    <xf numFmtId="11" fontId="0" fillId="7" borderId="0" xfId="0" applyNumberFormat="1" applyFill="1"/>
    <xf numFmtId="26" fontId="13" fillId="0" borderId="0" xfId="0" applyFont="1"/>
    <xf numFmtId="26" fontId="0" fillId="6" borderId="0" xfId="0" applyFont="1" applyFill="1"/>
    <xf numFmtId="11" fontId="0" fillId="0" borderId="0" xfId="0" applyNumberFormat="1" applyFill="1"/>
    <xf numFmtId="11" fontId="14" fillId="8" borderId="0" xfId="0" applyNumberFormat="1" applyFont="1" applyFill="1"/>
    <xf numFmtId="11" fontId="14" fillId="0" borderId="0" xfId="0" applyNumberFormat="1" applyFont="1" applyFill="1"/>
    <xf numFmtId="26" fontId="15" fillId="0" borderId="0" xfId="0" applyFont="1"/>
    <xf numFmtId="183" fontId="0" fillId="7" borderId="0" xfId="0" applyNumberFormat="1" applyFill="1"/>
    <xf numFmtId="26" fontId="16" fillId="0" borderId="0" xfId="0" applyFont="1"/>
    <xf numFmtId="181" fontId="0" fillId="0" borderId="0" xfId="0" applyNumberFormat="1" applyFill="1"/>
    <xf numFmtId="182" fontId="0" fillId="0" borderId="0" xfId="0" applyNumberFormat="1" applyFill="1"/>
    <xf numFmtId="2" fontId="0" fillId="0" borderId="0" xfId="0" applyNumberFormat="1" applyFill="1"/>
    <xf numFmtId="184" fontId="0" fillId="7" borderId="0" xfId="0" applyNumberFormat="1" applyFill="1"/>
    <xf numFmtId="185" fontId="0" fillId="7" borderId="0" xfId="0" applyNumberFormat="1" applyFill="1"/>
    <xf numFmtId="26" fontId="14" fillId="8" borderId="0" xfId="0" applyFont="1" applyFill="1"/>
    <xf numFmtId="26" fontId="17" fillId="0" borderId="0" xfId="0" applyFont="1"/>
    <xf numFmtId="26" fontId="0" fillId="0" borderId="0" xfId="0" applyFill="1" applyBorder="1"/>
    <xf numFmtId="1" fontId="0" fillId="0" borderId="0" xfId="0" applyNumberFormat="1" applyFill="1"/>
    <xf numFmtId="26" fontId="5" fillId="0" borderId="0" xfId="0" applyFont="1" applyFill="1"/>
    <xf numFmtId="26" fontId="18" fillId="0" borderId="0" xfId="0" applyFont="1"/>
    <xf numFmtId="186" fontId="0" fillId="0" borderId="0" xfId="0" applyNumberFormat="1"/>
    <xf numFmtId="1" fontId="0" fillId="0" borderId="0" xfId="0" applyNumberFormat="1"/>
    <xf numFmtId="187" fontId="0" fillId="7" borderId="0" xfId="0" applyNumberFormat="1" applyFill="1"/>
    <xf numFmtId="26" fontId="14" fillId="0" borderId="0" xfId="0" applyFont="1"/>
    <xf numFmtId="26" fontId="3" fillId="0" borderId="0" xfId="51" applyFont="1" applyFill="1" applyBorder="1" applyAlignment="1" applyProtection="1">
      <alignment horizontal="left"/>
    </xf>
    <xf numFmtId="26" fontId="3" fillId="0" borderId="9" xfId="51" applyFont="1" applyFill="1" applyBorder="1" applyAlignment="1" applyProtection="1">
      <alignment horizontal="left"/>
    </xf>
    <xf numFmtId="26" fontId="19" fillId="13" borderId="0" xfId="0" applyFont="1" applyFill="1" applyAlignment="1">
      <alignment horizontal="center"/>
    </xf>
    <xf numFmtId="26" fontId="19" fillId="13" borderId="0" xfId="0" applyFont="1" applyFill="1" applyAlignment="1">
      <alignment horizontal="left"/>
    </xf>
    <xf numFmtId="26" fontId="19" fillId="13" borderId="0" xfId="0" applyFont="1" applyFill="1"/>
    <xf numFmtId="26" fontId="19" fillId="14" borderId="0" xfId="0" applyFont="1" applyFill="1" applyAlignment="1">
      <alignment horizontal="center"/>
    </xf>
    <xf numFmtId="26" fontId="20" fillId="13" borderId="0" xfId="0" applyFont="1" applyFill="1" applyAlignment="1">
      <alignment horizontal="center"/>
    </xf>
    <xf numFmtId="49" fontId="20" fillId="13" borderId="0" xfId="0" applyNumberFormat="1" applyFont="1" applyFill="1" applyAlignment="1">
      <alignment horizontal="left"/>
    </xf>
    <xf numFmtId="26" fontId="21" fillId="13" borderId="0" xfId="0" applyFont="1" applyFill="1"/>
    <xf numFmtId="26" fontId="22" fillId="13" borderId="0" xfId="6" applyFont="1" applyFill="1" applyBorder="1" applyAlignment="1">
      <alignment vertical="center"/>
    </xf>
    <xf numFmtId="26" fontId="22" fillId="13" borderId="0" xfId="6" applyFont="1" applyFill="1" applyBorder="1" applyAlignment="1">
      <alignment horizontal="right" vertical="center"/>
    </xf>
    <xf numFmtId="26" fontId="20" fillId="13" borderId="0" xfId="0" applyFont="1" applyFill="1" applyAlignment="1">
      <alignment horizontal="left"/>
    </xf>
    <xf numFmtId="26" fontId="21" fillId="13" borderId="0" xfId="0" applyFont="1" applyFill="1" applyAlignment="1">
      <alignment horizontal="center"/>
    </xf>
    <xf numFmtId="26" fontId="3" fillId="13" borderId="0" xfId="0" applyFont="1" applyFill="1" applyAlignment="1"/>
    <xf numFmtId="26" fontId="23" fillId="13" borderId="0" xfId="0" applyFont="1" applyFill="1" applyAlignment="1">
      <alignment horizontal="center"/>
    </xf>
    <xf numFmtId="26" fontId="23" fillId="15" borderId="0" xfId="0" applyFont="1" applyFill="1" applyAlignment="1">
      <alignment horizontal="left"/>
    </xf>
    <xf numFmtId="26" fontId="21" fillId="13" borderId="0" xfId="0" applyFont="1" applyFill="1" applyAlignment="1">
      <alignment horizontal="left"/>
    </xf>
    <xf numFmtId="49" fontId="21" fillId="13" borderId="0" xfId="0" applyNumberFormat="1" applyFont="1" applyFill="1" applyAlignment="1">
      <alignment horizontal="center"/>
    </xf>
    <xf numFmtId="26" fontId="21" fillId="13" borderId="0" xfId="0" applyFont="1" applyFill="1" applyAlignment="1">
      <alignment wrapText="1"/>
    </xf>
    <xf numFmtId="26" fontId="24" fillId="13" borderId="0" xfId="6" applyFont="1" applyFill="1" applyBorder="1" applyAlignment="1">
      <alignment vertical="center"/>
    </xf>
    <xf numFmtId="26" fontId="0" fillId="16" borderId="0" xfId="0" applyFill="1" applyBorder="1" applyProtection="1">
      <protection hidden="1"/>
    </xf>
    <xf numFmtId="26" fontId="0" fillId="16" borderId="22" xfId="0" applyFill="1" applyBorder="1" applyProtection="1">
      <protection hidden="1"/>
    </xf>
    <xf numFmtId="26" fontId="0" fillId="16" borderId="0" xfId="0" applyFill="1" applyProtection="1">
      <protection hidden="1"/>
    </xf>
    <xf numFmtId="26" fontId="0" fillId="16" borderId="0" xfId="0" applyFill="1" applyAlignment="1" applyProtection="1">
      <alignment horizontal="right"/>
      <protection hidden="1"/>
    </xf>
    <xf numFmtId="26" fontId="14" fillId="16" borderId="0" xfId="0" applyFont="1" applyFill="1" applyProtection="1">
      <protection hidden="1"/>
    </xf>
    <xf numFmtId="26" fontId="0" fillId="17" borderId="0" xfId="0" applyFill="1" applyProtection="1">
      <protection hidden="1"/>
    </xf>
    <xf numFmtId="26" fontId="25" fillId="17" borderId="0" xfId="0" applyFont="1" applyFill="1" applyAlignment="1" applyProtection="1">
      <alignment horizontal="left" vertical="center"/>
      <protection hidden="1"/>
    </xf>
    <xf numFmtId="26" fontId="0" fillId="17" borderId="0" xfId="0" applyFill="1" applyAlignment="1" applyProtection="1">
      <alignment horizontal="right"/>
      <protection hidden="1"/>
    </xf>
    <xf numFmtId="26" fontId="0" fillId="17" borderId="0" xfId="0" applyFill="1" applyBorder="1" applyProtection="1">
      <protection hidden="1"/>
    </xf>
    <xf numFmtId="26" fontId="14" fillId="18" borderId="0" xfId="0" applyFont="1" applyFill="1" applyProtection="1">
      <protection hidden="1"/>
    </xf>
    <xf numFmtId="26" fontId="0" fillId="18" borderId="0" xfId="0" applyFill="1" applyBorder="1" applyProtection="1">
      <protection hidden="1"/>
    </xf>
    <xf numFmtId="26" fontId="0" fillId="18" borderId="0" xfId="0" applyFill="1" applyBorder="1" applyAlignment="1" applyProtection="1">
      <alignment horizontal="right"/>
      <protection hidden="1"/>
    </xf>
    <xf numFmtId="26" fontId="14" fillId="18" borderId="0" xfId="0" applyFont="1" applyFill="1" applyBorder="1" applyProtection="1">
      <protection hidden="1"/>
    </xf>
    <xf numFmtId="26" fontId="26" fillId="18" borderId="0" xfId="0" applyFont="1" applyFill="1" applyBorder="1" applyProtection="1">
      <protection hidden="1"/>
    </xf>
    <xf numFmtId="26" fontId="0" fillId="12" borderId="0" xfId="0" applyFill="1" applyBorder="1" applyProtection="1">
      <protection hidden="1"/>
    </xf>
    <xf numFmtId="26" fontId="27" fillId="18" borderId="0" xfId="6" applyFont="1" applyFill="1" applyBorder="1" applyAlignment="1" applyProtection="1">
      <alignment horizontal="right"/>
      <protection locked="0"/>
    </xf>
    <xf numFmtId="26" fontId="0" fillId="18" borderId="22" xfId="0" applyFill="1" applyBorder="1" applyProtection="1">
      <protection hidden="1"/>
    </xf>
    <xf numFmtId="26" fontId="0" fillId="18" borderId="22" xfId="0" applyFill="1" applyBorder="1" applyAlignment="1" applyProtection="1">
      <alignment horizontal="right"/>
      <protection hidden="1"/>
    </xf>
    <xf numFmtId="26" fontId="14" fillId="18" borderId="22" xfId="0" applyFont="1" applyFill="1" applyBorder="1" applyProtection="1">
      <protection hidden="1"/>
    </xf>
    <xf numFmtId="26" fontId="0" fillId="13" borderId="0" xfId="0" applyFill="1" applyProtection="1">
      <protection hidden="1"/>
    </xf>
    <xf numFmtId="26" fontId="0" fillId="13" borderId="0" xfId="0" applyFill="1" applyAlignment="1" applyProtection="1">
      <alignment horizontal="right"/>
      <protection hidden="1"/>
    </xf>
    <xf numFmtId="49" fontId="0" fillId="13" borderId="0" xfId="0" applyNumberFormat="1" applyFill="1" applyProtection="1">
      <protection hidden="1"/>
    </xf>
    <xf numFmtId="26" fontId="0" fillId="13" borderId="0" xfId="0" applyFill="1" applyBorder="1" applyProtection="1">
      <protection hidden="1"/>
    </xf>
    <xf numFmtId="26" fontId="11" fillId="13" borderId="0" xfId="0" applyFont="1" applyFill="1" applyProtection="1">
      <protection hidden="1"/>
    </xf>
    <xf numFmtId="26" fontId="0" fillId="13" borderId="7" xfId="0" applyFill="1" applyBorder="1" applyProtection="1">
      <protection hidden="1"/>
    </xf>
    <xf numFmtId="26" fontId="0" fillId="13" borderId="6" xfId="0" applyFill="1" applyBorder="1" applyProtection="1">
      <protection hidden="1"/>
    </xf>
    <xf numFmtId="26" fontId="28" fillId="13" borderId="6" xfId="51" applyFont="1" applyFill="1" applyBorder="1" applyAlignment="1" applyProtection="1">
      <alignment horizontal="right"/>
      <protection hidden="1"/>
    </xf>
    <xf numFmtId="26" fontId="0" fillId="12" borderId="23" xfId="0" applyFill="1" applyBorder="1" applyProtection="1">
      <protection locked="0"/>
    </xf>
    <xf numFmtId="26" fontId="0" fillId="13" borderId="8" xfId="0" applyFill="1" applyBorder="1" applyProtection="1">
      <protection hidden="1"/>
    </xf>
    <xf numFmtId="26" fontId="0" fillId="13" borderId="4" xfId="0" applyFill="1" applyBorder="1" applyProtection="1">
      <protection hidden="1"/>
    </xf>
    <xf numFmtId="26" fontId="28" fillId="13" borderId="0" xfId="51" applyFont="1" applyFill="1" applyBorder="1" applyAlignment="1" applyProtection="1">
      <alignment horizontal="right"/>
      <protection hidden="1"/>
    </xf>
    <xf numFmtId="26" fontId="0" fillId="12" borderId="24" xfId="0" applyFill="1" applyBorder="1" applyProtection="1">
      <protection locked="0"/>
    </xf>
    <xf numFmtId="26" fontId="0" fillId="13" borderId="5" xfId="0" applyFill="1" applyBorder="1" applyProtection="1">
      <protection hidden="1"/>
    </xf>
    <xf numFmtId="2" fontId="0" fillId="13" borderId="24" xfId="0" applyNumberFormat="1" applyFill="1" applyBorder="1" applyProtection="1">
      <protection hidden="1"/>
    </xf>
    <xf numFmtId="26" fontId="0" fillId="13" borderId="24" xfId="0" applyFill="1" applyBorder="1" applyProtection="1">
      <protection hidden="1"/>
    </xf>
    <xf numFmtId="26" fontId="28" fillId="13" borderId="4" xfId="0" applyFont="1" applyFill="1" applyBorder="1" applyProtection="1">
      <protection hidden="1"/>
    </xf>
    <xf numFmtId="26" fontId="28" fillId="13" borderId="0" xfId="0" applyFont="1" applyFill="1" applyBorder="1" applyProtection="1">
      <protection hidden="1"/>
    </xf>
    <xf numFmtId="26" fontId="28" fillId="13" borderId="0" xfId="0" applyFont="1" applyFill="1" applyBorder="1" applyAlignment="1" applyProtection="1">
      <alignment horizontal="right"/>
      <protection hidden="1"/>
    </xf>
    <xf numFmtId="186" fontId="0" fillId="13" borderId="24" xfId="0" applyNumberFormat="1" applyFill="1" applyBorder="1" applyProtection="1">
      <protection hidden="1"/>
    </xf>
    <xf numFmtId="26" fontId="28" fillId="13" borderId="10" xfId="0" applyFont="1" applyFill="1" applyBorder="1" applyProtection="1">
      <protection hidden="1"/>
    </xf>
    <xf numFmtId="26" fontId="28" fillId="13" borderId="9" xfId="0" applyFont="1" applyFill="1" applyBorder="1" applyProtection="1">
      <protection hidden="1"/>
    </xf>
    <xf numFmtId="26" fontId="0" fillId="13" borderId="9" xfId="0" applyFill="1" applyBorder="1" applyProtection="1">
      <protection hidden="1"/>
    </xf>
    <xf numFmtId="26" fontId="28" fillId="13" borderId="9" xfId="0" applyFont="1" applyFill="1" applyBorder="1" applyAlignment="1" applyProtection="1">
      <alignment horizontal="right"/>
      <protection hidden="1"/>
    </xf>
    <xf numFmtId="186" fontId="0" fillId="13" borderId="25" xfId="0" applyNumberFormat="1" applyFill="1" applyBorder="1" applyProtection="1">
      <protection hidden="1"/>
    </xf>
    <xf numFmtId="26" fontId="0" fillId="13" borderId="11" xfId="0" applyFill="1" applyBorder="1" applyProtection="1">
      <protection hidden="1"/>
    </xf>
    <xf numFmtId="26" fontId="28" fillId="13" borderId="0" xfId="0" applyFont="1" applyFill="1" applyProtection="1">
      <protection hidden="1"/>
    </xf>
    <xf numFmtId="26" fontId="11" fillId="13" borderId="0" xfId="0" applyFont="1" applyFill="1" applyBorder="1" applyProtection="1">
      <protection hidden="1"/>
    </xf>
    <xf numFmtId="26" fontId="11" fillId="13" borderId="7" xfId="0" applyFont="1" applyFill="1" applyBorder="1" applyProtection="1">
      <protection hidden="1"/>
    </xf>
    <xf numFmtId="26" fontId="28" fillId="13" borderId="6" xfId="0" applyFont="1" applyFill="1" applyBorder="1" applyProtection="1">
      <protection hidden="1"/>
    </xf>
    <xf numFmtId="26" fontId="28" fillId="13" borderId="6" xfId="0" applyFont="1" applyFill="1" applyBorder="1" applyAlignment="1" applyProtection="1">
      <alignment horizontal="right"/>
      <protection hidden="1"/>
    </xf>
    <xf numFmtId="26" fontId="6" fillId="13" borderId="23" xfId="0" applyFont="1" applyFill="1" applyBorder="1" applyAlignment="1" applyProtection="1">
      <alignment horizontal="center"/>
      <protection hidden="1"/>
    </xf>
    <xf numFmtId="2" fontId="0" fillId="0" borderId="24" xfId="0" applyNumberFormat="1" applyBorder="1" applyProtection="1">
      <protection hidden="1"/>
    </xf>
    <xf numFmtId="26" fontId="0" fillId="13" borderId="10" xfId="0" applyFill="1" applyBorder="1" applyProtection="1">
      <protection hidden="1"/>
    </xf>
    <xf numFmtId="26" fontId="28" fillId="13" borderId="9" xfId="51" applyFont="1" applyFill="1" applyBorder="1" applyAlignment="1" applyProtection="1">
      <alignment horizontal="right"/>
      <protection hidden="1"/>
    </xf>
    <xf numFmtId="2" fontId="0" fillId="0" borderId="25" xfId="0" applyNumberFormat="1" applyBorder="1" applyProtection="1">
      <protection hidden="1"/>
    </xf>
    <xf numFmtId="26" fontId="0" fillId="13" borderId="0" xfId="0" applyFill="1" applyBorder="1" applyAlignment="1" applyProtection="1">
      <alignment horizontal="right"/>
      <protection hidden="1"/>
    </xf>
    <xf numFmtId="1" fontId="0" fillId="13" borderId="24" xfId="0" applyNumberFormat="1" applyFill="1" applyBorder="1" applyProtection="1">
      <protection hidden="1"/>
    </xf>
    <xf numFmtId="26" fontId="5" fillId="13" borderId="5" xfId="0" applyFont="1" applyFill="1" applyBorder="1" applyProtection="1">
      <protection hidden="1"/>
    </xf>
    <xf numFmtId="26" fontId="0" fillId="13" borderId="9" xfId="0" applyFill="1" applyBorder="1" applyAlignment="1" applyProtection="1">
      <alignment horizontal="right"/>
      <protection hidden="1"/>
    </xf>
    <xf numFmtId="2" fontId="0" fillId="13" borderId="25" xfId="0" applyNumberFormat="1" applyFill="1" applyBorder="1" applyProtection="1">
      <protection hidden="1"/>
    </xf>
    <xf numFmtId="26" fontId="5" fillId="13" borderId="11" xfId="0" applyFont="1" applyFill="1" applyBorder="1" applyProtection="1">
      <protection hidden="1"/>
    </xf>
    <xf numFmtId="26" fontId="0" fillId="13" borderId="6" xfId="0" applyFill="1" applyBorder="1" applyAlignment="1" applyProtection="1">
      <alignment horizontal="right"/>
      <protection hidden="1"/>
    </xf>
    <xf numFmtId="2" fontId="0" fillId="13" borderId="23" xfId="0" applyNumberFormat="1" applyFill="1" applyBorder="1" applyProtection="1">
      <protection hidden="1"/>
    </xf>
    <xf numFmtId="26" fontId="0" fillId="12" borderId="25" xfId="0" applyFill="1" applyBorder="1" applyProtection="1">
      <protection locked="0"/>
    </xf>
    <xf numFmtId="2" fontId="0" fillId="13" borderId="0" xfId="0" applyNumberFormat="1" applyFill="1" applyBorder="1" applyProtection="1">
      <protection hidden="1"/>
    </xf>
    <xf numFmtId="1" fontId="0" fillId="13" borderId="0" xfId="0" applyNumberFormat="1" applyFill="1" applyBorder="1" applyProtection="1">
      <protection hidden="1"/>
    </xf>
    <xf numFmtId="26" fontId="29" fillId="13" borderId="0" xfId="0" applyFont="1" applyFill="1" applyProtection="1">
      <protection hidden="1"/>
    </xf>
    <xf numFmtId="26" fontId="5" fillId="13" borderId="0" xfId="0" applyFont="1" applyFill="1" applyBorder="1" applyProtection="1">
      <protection hidden="1"/>
    </xf>
    <xf numFmtId="182" fontId="0" fillId="13" borderId="0" xfId="0" applyNumberFormat="1" applyFill="1" applyBorder="1" applyProtection="1">
      <protection hidden="1"/>
    </xf>
    <xf numFmtId="26" fontId="14" fillId="13" borderId="6" xfId="0" applyFont="1" applyFill="1" applyBorder="1" applyAlignment="1" applyProtection="1">
      <alignment horizontal="right"/>
      <protection hidden="1"/>
    </xf>
    <xf numFmtId="26" fontId="0" fillId="12" borderId="23" xfId="0" applyFont="1" applyFill="1" applyBorder="1" applyAlignment="1" applyProtection="1">
      <alignment vertical="top"/>
      <protection locked="0"/>
    </xf>
    <xf numFmtId="26" fontId="0" fillId="0" borderId="24" xfId="0" applyFont="1" applyFill="1" applyBorder="1" applyAlignment="1" applyProtection="1">
      <alignment vertical="top"/>
      <protection hidden="1"/>
    </xf>
    <xf numFmtId="26" fontId="11" fillId="13" borderId="4" xfId="0" applyFont="1" applyFill="1" applyBorder="1" applyProtection="1">
      <protection hidden="1"/>
    </xf>
    <xf numFmtId="26" fontId="6" fillId="13" borderId="0" xfId="0" applyFont="1" applyFill="1" applyBorder="1" applyAlignment="1" applyProtection="1">
      <alignment horizontal="right"/>
      <protection hidden="1"/>
    </xf>
    <xf numFmtId="182" fontId="0" fillId="13" borderId="24" xfId="0" applyNumberFormat="1" applyFill="1" applyBorder="1" applyProtection="1">
      <protection hidden="1"/>
    </xf>
    <xf numFmtId="26" fontId="0" fillId="13" borderId="0" xfId="0" applyFill="1" applyBorder="1" applyAlignment="1" applyProtection="1">
      <alignment horizontal="center"/>
      <protection hidden="1"/>
    </xf>
    <xf numFmtId="26" fontId="0" fillId="13" borderId="24" xfId="0" applyFill="1" applyBorder="1" applyAlignment="1" applyProtection="1">
      <alignment horizontal="center"/>
      <protection hidden="1"/>
    </xf>
    <xf numFmtId="26" fontId="0" fillId="13" borderId="5" xfId="0" applyFill="1" applyBorder="1" applyAlignment="1" applyProtection="1">
      <alignment horizontal="center"/>
      <protection hidden="1"/>
    </xf>
    <xf numFmtId="182" fontId="0" fillId="13" borderId="1" xfId="0" applyNumberFormat="1" applyFill="1" applyBorder="1" applyProtection="1">
      <protection hidden="1"/>
    </xf>
    <xf numFmtId="26" fontId="5" fillId="13" borderId="26" xfId="0" applyFont="1" applyFill="1" applyBorder="1" applyAlignment="1" applyProtection="1">
      <alignment horizontal="left"/>
      <protection hidden="1"/>
    </xf>
    <xf numFmtId="26" fontId="0" fillId="12" borderId="26" xfId="0" applyFill="1" applyBorder="1" applyProtection="1">
      <protection locked="0"/>
    </xf>
    <xf numFmtId="2" fontId="0" fillId="13" borderId="1" xfId="0" applyNumberFormat="1" applyFill="1" applyBorder="1" applyProtection="1">
      <protection hidden="1"/>
    </xf>
    <xf numFmtId="1" fontId="0" fillId="13" borderId="10" xfId="0" applyNumberFormat="1" applyFill="1" applyBorder="1" applyProtection="1">
      <protection hidden="1"/>
    </xf>
    <xf numFmtId="26" fontId="0" fillId="13" borderId="25" xfId="0" applyFill="1" applyBorder="1" applyAlignment="1" applyProtection="1">
      <alignment horizontal="left"/>
      <protection hidden="1"/>
    </xf>
    <xf numFmtId="1" fontId="0" fillId="13" borderId="0" xfId="0" applyNumberFormat="1" applyFill="1" applyProtection="1">
      <protection hidden="1"/>
    </xf>
    <xf numFmtId="26" fontId="0" fillId="0" borderId="0" xfId="0" applyFill="1" applyProtection="1">
      <protection hidden="1"/>
    </xf>
    <xf numFmtId="26" fontId="30" fillId="19" borderId="0" xfId="0" applyFont="1" applyFill="1" applyProtection="1">
      <protection hidden="1"/>
    </xf>
    <xf numFmtId="26" fontId="0" fillId="19" borderId="0" xfId="0" applyFill="1" applyProtection="1">
      <protection hidden="1"/>
    </xf>
    <xf numFmtId="26" fontId="0" fillId="19" borderId="0" xfId="0" applyFill="1" applyAlignment="1" applyProtection="1">
      <alignment horizontal="right"/>
      <protection hidden="1"/>
    </xf>
    <xf numFmtId="26" fontId="0" fillId="15" borderId="0" xfId="0" applyFill="1" applyProtection="1">
      <protection hidden="1"/>
    </xf>
    <xf numFmtId="26" fontId="0" fillId="15" borderId="0" xfId="0" applyFill="1" applyBorder="1" applyProtection="1">
      <protection hidden="1"/>
    </xf>
    <xf numFmtId="26" fontId="31" fillId="13" borderId="0" xfId="0" applyFont="1" applyFill="1" applyBorder="1" applyAlignment="1" applyProtection="1">
      <alignment horizontal="left"/>
      <protection hidden="1"/>
    </xf>
    <xf numFmtId="26" fontId="3" fillId="13" borderId="6" xfId="51" applyFont="1" applyFill="1" applyBorder="1" applyAlignment="1" applyProtection="1">
      <alignment horizontal="right"/>
      <protection hidden="1"/>
    </xf>
    <xf numFmtId="26" fontId="3" fillId="13" borderId="8" xfId="51" applyFont="1" applyFill="1" applyBorder="1" applyProtection="1">
      <protection hidden="1"/>
    </xf>
    <xf numFmtId="26" fontId="0" fillId="0" borderId="0" xfId="0" applyBorder="1" applyProtection="1">
      <protection hidden="1"/>
    </xf>
    <xf numFmtId="26" fontId="3" fillId="13" borderId="0" xfId="51" applyFont="1" applyFill="1" applyBorder="1" applyAlignment="1" applyProtection="1">
      <alignment horizontal="right"/>
      <protection hidden="1"/>
    </xf>
    <xf numFmtId="26" fontId="3" fillId="13" borderId="5" xfId="51" applyFont="1" applyFill="1" applyBorder="1" applyProtection="1">
      <protection hidden="1"/>
    </xf>
    <xf numFmtId="26" fontId="3" fillId="13" borderId="9" xfId="51" applyFont="1" applyFill="1" applyBorder="1" applyAlignment="1" applyProtection="1">
      <alignment horizontal="right"/>
      <protection hidden="1"/>
    </xf>
    <xf numFmtId="26" fontId="3" fillId="13" borderId="11" xfId="51" applyFont="1" applyFill="1" applyBorder="1" applyProtection="1">
      <protection hidden="1"/>
    </xf>
    <xf numFmtId="26" fontId="31" fillId="13" borderId="0" xfId="0" applyFont="1" applyFill="1" applyAlignment="1" applyProtection="1">
      <alignment horizontal="left"/>
      <protection hidden="1"/>
    </xf>
    <xf numFmtId="26" fontId="0" fillId="0" borderId="23" xfId="0" applyBorder="1" applyProtection="1">
      <protection hidden="1"/>
    </xf>
    <xf numFmtId="26" fontId="0" fillId="18" borderId="0" xfId="0" applyFill="1" applyProtection="1">
      <protection hidden="1"/>
    </xf>
    <xf numFmtId="26" fontId="0" fillId="18" borderId="0" xfId="0" applyFill="1" applyAlignment="1" applyProtection="1">
      <alignment horizontal="right"/>
      <protection hidden="1"/>
    </xf>
    <xf numFmtId="26" fontId="26" fillId="18" borderId="0" xfId="0" applyFont="1" applyFill="1" applyBorder="1" applyProtection="1" quotePrefix="1">
      <protection hidden="1"/>
    </xf>
  </cellXfs>
  <cellStyles count="56">
    <cellStyle name="Normalny" xfId="0" builtinId="0"/>
    <cellStyle name="Dziesiętny" xfId="1" builtinId="3"/>
    <cellStyle name="Walutowy" xfId="2" builtinId="4"/>
    <cellStyle name="Procentowy" xfId="3" builtinId="5"/>
    <cellStyle name="Przecinek [0]" xfId="4" builtinId="6"/>
    <cellStyle name="Waluta [0]" xfId="5" builtinId="7"/>
    <cellStyle name="Hiperłącze" xfId="6" builtinId="8"/>
    <cellStyle name="Użyte hiperłącze" xfId="7" builtinId="9"/>
    <cellStyle name="Uwaga" xfId="8" builtinId="10"/>
    <cellStyle name="Tekst ostrzeżenia" xfId="9" builtinId="11"/>
    <cellStyle name="Tytuł" xfId="10" builtinId="15"/>
    <cellStyle name="Tekst objaśnienia" xfId="11" builtinId="53"/>
    <cellStyle name="Nagłówek 1" xfId="12" builtinId="16"/>
    <cellStyle name="Nagłówek 2" xfId="13" builtinId="17"/>
    <cellStyle name="Nagłówek 3" xfId="14" builtinId="18"/>
    <cellStyle name="Nagłówek 4" xfId="15" builtinId="19"/>
    <cellStyle name="Dane wejściowe" xfId="16" builtinId="20"/>
    <cellStyle name="Dane wyjściowe" xfId="17" builtinId="21"/>
    <cellStyle name="Obliczenia" xfId="18" builtinId="22"/>
    <cellStyle name="Komórka zaznaczona" xfId="19" builtinId="23"/>
    <cellStyle name="Komórka połączona" xfId="20" builtinId="24"/>
    <cellStyle name="Suma" xfId="21" builtinId="25"/>
    <cellStyle name="Dobre" xfId="22" builtinId="26"/>
    <cellStyle name="Złe" xfId="23" builtinId="27"/>
    <cellStyle name="Neutralne" xfId="24" builtinId="28"/>
    <cellStyle name="Akcent 1" xfId="25" builtinId="29"/>
    <cellStyle name="20% - Akcent 1" xfId="26" builtinId="30"/>
    <cellStyle name="40% - Akcent 1" xfId="27" builtinId="31"/>
    <cellStyle name="60% - Akcent 1" xfId="28" builtinId="32"/>
    <cellStyle name="Akcent 2" xfId="29" builtinId="33"/>
    <cellStyle name="20% - Akcent 2" xfId="30" builtinId="34"/>
    <cellStyle name="40% - Akcent 2" xfId="31" builtinId="35"/>
    <cellStyle name="60% - Akcent 2" xfId="32" builtinId="36"/>
    <cellStyle name="Akcent 3" xfId="33" builtinId="37"/>
    <cellStyle name="20% - Akcent 3" xfId="34" builtinId="38"/>
    <cellStyle name="40% - Akcent 3" xfId="35" builtinId="39"/>
    <cellStyle name="60% - Akcent 3" xfId="36" builtinId="40"/>
    <cellStyle name="Akcent 4" xfId="37" builtinId="41"/>
    <cellStyle name="20% - Akcent 4" xfId="38" builtinId="42"/>
    <cellStyle name="40% - Akcent 4" xfId="39" builtinId="43"/>
    <cellStyle name="60% - Akcent 4" xfId="40" builtinId="44"/>
    <cellStyle name="Akcent 5" xfId="41" builtinId="45"/>
    <cellStyle name="20% - Akcent 5" xfId="42" builtinId="46"/>
    <cellStyle name="40% - Akcent 5" xfId="43" builtinId="47"/>
    <cellStyle name="60% - Akcent 5" xfId="44" builtinId="48"/>
    <cellStyle name="Akcent 6" xfId="45" builtinId="49"/>
    <cellStyle name="20% - Akcent 6" xfId="46" builtinId="50"/>
    <cellStyle name="40% - Akcent 6" xfId="47" builtinId="51"/>
    <cellStyle name="60% - Akcent 6" xfId="48" builtinId="52"/>
    <cellStyle name="Comma 2" xfId="49"/>
    <cellStyle name="Comma 3" xfId="50"/>
    <cellStyle name="Normal 2" xfId="51"/>
    <cellStyle name="Normal 3" xfId="52"/>
    <cellStyle name="Normal 4" xfId="53"/>
    <cellStyle name="Normal 4 2" xfId="54"/>
    <cellStyle name="Normal 4 3" xfId="55"/>
  </cellStyles>
  <dxfs count="3">
    <dxf>
      <fill>
        <patternFill patternType="solid">
          <bgColor rgb="FFFF0000"/>
        </patternFill>
      </fill>
    </dxf>
    <dxf>
      <font>
        <color rgb="FFFF0000"/>
      </font>
      <fill>
        <patternFill patternType="none"/>
      </fill>
    </dxf>
    <dxf>
      <fill>
        <patternFill patternType="solid">
          <bgColor rgb="FFFF0000"/>
        </patternFill>
      </fill>
    </dxf>
  </dxfs>
  <tableStyles count="0" defaultTableStyle="TableStyleMedium2" defaultPivotStyle="PivotStyleLight16"/>
  <colors>
    <mruColors>
      <color rgb="00EAEAEA"/>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customXml" Target="../customXml/item1.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600" b="1" i="0" u="none" strike="noStrike" kern="1200" baseline="0">
                <a:solidFill>
                  <a:schemeClr val="tx1"/>
                </a:solidFill>
                <a:latin typeface="+mn-lt"/>
                <a:ea typeface="+mn-ea"/>
                <a:cs typeface="+mn-cs"/>
              </a:defRPr>
            </a:pPr>
            <a:r>
              <a:rPr lang="en-US" sz="1600" baseline="0"/>
              <a:t>Bode Plot</a:t>
            </a:r>
            <a:endParaRPr lang="en-US" sz="1600" baseline="0"/>
          </a:p>
        </c:rich>
      </c:tx>
      <c:layout>
        <c:manualLayout>
          <c:xMode val="edge"/>
          <c:yMode val="edge"/>
          <c:x val="0.0943541571749534"/>
          <c:y val="0.00399160104986877"/>
        </c:manualLayout>
      </c:layout>
      <c:overlay val="0"/>
    </c:title>
    <c:autoTitleDeleted val="0"/>
    <c:plotArea>
      <c:layout>
        <c:manualLayout>
          <c:layoutTarget val="inner"/>
          <c:xMode val="edge"/>
          <c:yMode val="edge"/>
          <c:x val="0.0905940527204998"/>
          <c:y val="0.0891581080136939"/>
          <c:w val="0.809658767428918"/>
          <c:h val="0.76159168715027"/>
        </c:manualLayout>
      </c:layout>
      <c:scatterChart>
        <c:scatterStyle val="smooth"/>
        <c:varyColors val="0"/>
        <c:ser>
          <c:idx val="0"/>
          <c:order val="0"/>
          <c:tx>
            <c:strRef>
              <c:f>"Gain (dB)"</c:f>
              <c:strCache>
                <c:ptCount val="1"/>
                <c:pt idx="0">
                  <c:v>Gain (dB)</c:v>
                </c:pt>
              </c:strCache>
            </c:strRef>
          </c:tx>
          <c:spPr>
            <a:ln w="28575"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54.323892951374</c:v>
                </c:pt>
                <c:pt idx="1">
                  <c:v>54.1219166768084</c:v>
                </c:pt>
                <c:pt idx="2">
                  <c:v>53.919848476038</c:v>
                </c:pt>
                <c:pt idx="3">
                  <c:v>53.7176841322702</c:v>
                </c:pt>
                <c:pt idx="4">
                  <c:v>53.5154192409183</c:v>
                </c:pt>
                <c:pt idx="5">
                  <c:v>53.3130492017745</c:v>
                </c:pt>
                <c:pt idx="6">
                  <c:v>53.1105692109103</c:v>
                </c:pt>
                <c:pt idx="7">
                  <c:v>52.9079742522967</c:v>
                </c:pt>
                <c:pt idx="8">
                  <c:v>52.7052590891412</c:v>
                </c:pt>
                <c:pt idx="9">
                  <c:v>52.5024182549403</c:v>
                </c:pt>
                <c:pt idx="10">
                  <c:v>52.299446044241</c:v>
                </c:pt>
                <c:pt idx="11">
                  <c:v>52.0963365031125</c:v>
                </c:pt>
                <c:pt idx="12">
                  <c:v>51.8930834193269</c:v>
                </c:pt>
                <c:pt idx="13">
                  <c:v>51.6896803122462</c:v>
                </c:pt>
                <c:pt idx="14">
                  <c:v>51.4861204224209</c:v>
                </c:pt>
                <c:pt idx="15">
                  <c:v>51.2823967008982</c:v>
                </c:pt>
                <c:pt idx="16">
                  <c:v>51.0785017982479</c:v>
                </c:pt>
                <c:pt idx="17">
                  <c:v>50.8744280533077</c:v>
                </c:pt>
                <c:pt idx="18">
                  <c:v>50.6701674816575</c:v>
                </c:pt>
                <c:pt idx="19">
                  <c:v>50.4657117638307</c:v>
                </c:pt>
                <c:pt idx="20">
                  <c:v>50.2610522332743</c:v>
                </c:pt>
                <c:pt idx="21">
                  <c:v>50.0561798640705</c:v>
                </c:pt>
                <c:pt idx="22">
                  <c:v>49.8510852584364</c:v>
                </c:pt>
                <c:pt idx="23">
                  <c:v>49.6457586340212</c:v>
                </c:pt>
                <c:pt idx="24">
                  <c:v>49.4401898110214</c:v>
                </c:pt>
                <c:pt idx="25">
                  <c:v>49.2343681991402</c:v>
                </c:pt>
                <c:pt idx="26">
                  <c:v>49.0282827844203</c:v>
                </c:pt>
                <c:pt idx="27">
                  <c:v>48.8219221159812</c:v>
                </c:pt>
                <c:pt idx="28">
                  <c:v>48.6152742926987</c:v>
                </c:pt>
                <c:pt idx="29">
                  <c:v>48.4083269498686</c:v>
                </c:pt>
                <c:pt idx="30">
                  <c:v>48.2010672458984</c:v>
                </c:pt>
                <c:pt idx="31">
                  <c:v>47.9934818490808</c:v>
                </c:pt>
                <c:pt idx="32">
                  <c:v>47.7855569245033</c:v>
                </c:pt>
                <c:pt idx="33">
                  <c:v>47.5772781211576</c:v>
                </c:pt>
                <c:pt idx="34">
                  <c:v>47.3686305593174</c:v>
                </c:pt>
                <c:pt idx="35">
                  <c:v>47.1595988182577</c:v>
                </c:pt>
                <c:pt idx="36">
                  <c:v>46.9501669244002</c:v>
                </c:pt>
                <c:pt idx="37">
                  <c:v>46.7403183399712</c:v>
                </c:pt>
                <c:pt idx="38">
                  <c:v>46.5300359522691</c:v>
                </c:pt>
                <c:pt idx="39">
                  <c:v>46.3193020636467</c:v>
                </c:pt>
                <c:pt idx="40">
                  <c:v>46.1080983823172</c:v>
                </c:pt>
                <c:pt idx="41">
                  <c:v>45.8964060141075</c:v>
                </c:pt>
                <c:pt idx="42">
                  <c:v>45.6842054552843</c:v>
                </c:pt>
                <c:pt idx="43">
                  <c:v>45.4714765865923</c:v>
                </c:pt>
                <c:pt idx="44">
                  <c:v>45.258198668647</c:v>
                </c:pt>
                <c:pt idx="45">
                  <c:v>45.0443503388391</c:v>
                </c:pt>
                <c:pt idx="46">
                  <c:v>44.8299096099104</c:v>
                </c:pt>
                <c:pt idx="47">
                  <c:v>44.6148538703732</c:v>
                </c:pt>
                <c:pt idx="48">
                  <c:v>44.3991598869501</c:v>
                </c:pt>
                <c:pt idx="49">
                  <c:v>44.182803809222</c:v>
                </c:pt>
                <c:pt idx="50">
                  <c:v>43.9657611766748</c:v>
                </c:pt>
                <c:pt idx="51">
                  <c:v>43.7480069283454</c:v>
                </c:pt>
                <c:pt idx="52">
                  <c:v>43.5295154152709</c:v>
                </c:pt>
                <c:pt idx="53">
                  <c:v>43.3102604159493</c:v>
                </c:pt>
                <c:pt idx="54">
                  <c:v>43.0902151550224</c:v>
                </c:pt>
                <c:pt idx="55">
                  <c:v>42.8693523253968</c:v>
                </c:pt>
                <c:pt idx="56">
                  <c:v>42.6476441140127</c:v>
                </c:pt>
                <c:pt idx="57">
                  <c:v>42.4250622314742</c:v>
                </c:pt>
                <c:pt idx="58">
                  <c:v>42.2015779457472</c:v>
                </c:pt>
                <c:pt idx="59">
                  <c:v>41.9771621201265</c:v>
                </c:pt>
                <c:pt idx="60">
                  <c:v>41.7517852556639</c:v>
                </c:pt>
                <c:pt idx="61">
                  <c:v>41.5254175382378</c:v>
                </c:pt>
                <c:pt idx="62">
                  <c:v>41.2980288904313</c:v>
                </c:pt>
                <c:pt idx="63">
                  <c:v>41.0695890283667</c:v>
                </c:pt>
                <c:pt idx="64">
                  <c:v>40.8400675236232</c:v>
                </c:pt>
                <c:pt idx="65">
                  <c:v>40.6094338703441</c:v>
                </c:pt>
                <c:pt idx="66">
                  <c:v>40.3776575576048</c:v>
                </c:pt>
                <c:pt idx="67">
                  <c:v>40.1447081470894</c:v>
                </c:pt>
                <c:pt idx="68">
                  <c:v>39.910555356082</c:v>
                </c:pt>
                <c:pt idx="69">
                  <c:v>39.6751691457438</c:v>
                </c:pt>
                <c:pt idx="70">
                  <c:v>39.438519814604</c:v>
                </c:pt>
                <c:pt idx="71">
                  <c:v>39.2005780971471</c:v>
                </c:pt>
                <c:pt idx="72">
                  <c:v>38.9613152673288</c:v>
                </c:pt>
                <c:pt idx="73">
                  <c:v>38.720703246805</c:v>
                </c:pt>
                <c:pt idx="74">
                  <c:v>38.4787147176011</c:v>
                </c:pt>
                <c:pt idx="75">
                  <c:v>38.2353232388952</c:v>
                </c:pt>
                <c:pt idx="76">
                  <c:v>37.9905033675317</c:v>
                </c:pt>
                <c:pt idx="77">
                  <c:v>37.7442307818225</c:v>
                </c:pt>
                <c:pt idx="78">
                  <c:v>37.4964824081395</c:v>
                </c:pt>
                <c:pt idx="79">
                  <c:v>37.2472365497396</c:v>
                </c:pt>
                <c:pt idx="80">
                  <c:v>36.9964730172137</c:v>
                </c:pt>
                <c:pt idx="81">
                  <c:v>36.7441732598957</c:v>
                </c:pt>
                <c:pt idx="82">
                  <c:v>36.4903204975191</c:v>
                </c:pt>
                <c:pt idx="83">
                  <c:v>36.2348998513629</c:v>
                </c:pt>
                <c:pt idx="84">
                  <c:v>35.9778984740928</c:v>
                </c:pt>
                <c:pt idx="85">
                  <c:v>35.7193056774642</c:v>
                </c:pt>
                <c:pt idx="86">
                  <c:v>35.4591130570326</c:v>
                </c:pt>
                <c:pt idx="87">
                  <c:v>35.1973146129945</c:v>
                </c:pt>
                <c:pt idx="88">
                  <c:v>34.9339068662741</c:v>
                </c:pt>
                <c:pt idx="89">
                  <c:v>34.668888968966</c:v>
                </c:pt>
                <c:pt idx="90">
                  <c:v>34.4022628082564</c:v>
                </c:pt>
                <c:pt idx="91">
                  <c:v>34.1340331029564</c:v>
                </c:pt>
                <c:pt idx="92">
                  <c:v>33.864207491814</c:v>
                </c:pt>
                <c:pt idx="93">
                  <c:v>33.5927966128026</c:v>
                </c:pt>
                <c:pt idx="94">
                  <c:v>33.3198141726305</c:v>
                </c:pt>
                <c:pt idx="95">
                  <c:v>33.0452770057714</c:v>
                </c:pt>
                <c:pt idx="96">
                  <c:v>32.7692051223756</c:v>
                </c:pt>
                <c:pt idx="97">
                  <c:v>32.4916217444933</c:v>
                </c:pt>
                <c:pt idx="98">
                  <c:v>32.212553330115</c:v>
                </c:pt>
                <c:pt idx="99">
                  <c:v>31.9320295846177</c:v>
                </c:pt>
                <c:pt idx="100">
                  <c:v>31.6500834592885</c:v>
                </c:pt>
                <c:pt idx="101">
                  <c:v>31.3667511366894</c:v>
                </c:pt>
                <c:pt idx="102">
                  <c:v>31.0820720027128</c:v>
                </c:pt>
                <c:pt idx="103">
                  <c:v>30.7960886052735</c:v>
                </c:pt>
                <c:pt idx="104">
                  <c:v>30.5088465996693</c:v>
                </c:pt>
                <c:pt idx="105">
                  <c:v>30.2203946807324</c:v>
                </c:pt>
                <c:pt idx="106">
                  <c:v>29.9307845019825</c:v>
                </c:pt>
                <c:pt idx="107">
                  <c:v>29.6400705820702</c:v>
                </c:pt>
                <c:pt idx="108">
                  <c:v>29.3483101988789</c:v>
                </c:pt>
                <c:pt idx="109">
                  <c:v>29.0555632717288</c:v>
                </c:pt>
                <c:pt idx="110">
                  <c:v>28.7618922321886</c:v>
                </c:pt>
                <c:pt idx="111">
                  <c:v>28.4673618840637</c:v>
                </c:pt>
                <c:pt idx="112">
                  <c:v>28.172039253186</c:v>
                </c:pt>
                <c:pt idx="113">
                  <c:v>27.8759934276742</c:v>
                </c:pt>
                <c:pt idx="114">
                  <c:v>27.5792953893811</c:v>
                </c:pt>
                <c:pt idx="115">
                  <c:v>27.2820178372745</c:v>
                </c:pt>
                <c:pt idx="116">
                  <c:v>26.9842350035369</c:v>
                </c:pt>
                <c:pt idx="117">
                  <c:v>26.6860224631857</c:v>
                </c:pt>
                <c:pt idx="118">
                  <c:v>26.3874569380444</c:v>
                </c:pt>
                <c:pt idx="119">
                  <c:v>26.0886160959085</c:v>
                </c:pt>
                <c:pt idx="120">
                  <c:v>25.7895783457627</c:v>
                </c:pt>
                <c:pt idx="121">
                  <c:v>25.4904226299168</c:v>
                </c:pt>
                <c:pt idx="122">
                  <c:v>25.1912282139381</c:v>
                </c:pt>
                <c:pt idx="123">
                  <c:v>24.8920744752552</c:v>
                </c:pt>
                <c:pt idx="124">
                  <c:v>24.5930406913219</c:v>
                </c:pt>
                <c:pt idx="125">
                  <c:v>24.2942058282189</c:v>
                </c:pt>
                <c:pt idx="126">
                  <c:v>23.9956483305824</c:v>
                </c:pt>
                <c:pt idx="127">
                  <c:v>23.6974459137348</c:v>
                </c:pt>
                <c:pt idx="128">
                  <c:v>23.3996753588949</c:v>
                </c:pt>
                <c:pt idx="129">
                  <c:v>23.102412312335</c:v>
                </c:pt>
                <c:pt idx="130">
                  <c:v>22.8057310893437</c:v>
                </c:pt>
                <c:pt idx="131">
                  <c:v>22.5097044838373</c:v>
                </c:pt>
                <c:pt idx="132">
                  <c:v>22.2144035844495</c:v>
                </c:pt>
                <c:pt idx="133">
                  <c:v>21.9198975979053</c:v>
                </c:pt>
                <c:pt idx="134">
                  <c:v>21.6262536804622</c:v>
                </c:pt>
                <c:pt idx="135">
                  <c:v>21.3335367781675</c:v>
                </c:pt>
                <c:pt idx="136">
                  <c:v>21.0418094766492</c:v>
                </c:pt>
                <c:pt idx="137">
                  <c:v>20.7511318611115</c:v>
                </c:pt>
                <c:pt idx="138">
                  <c:v>20.4615613871594</c:v>
                </c:pt>
                <c:pt idx="139">
                  <c:v>20.173152763025</c:v>
                </c:pt>
                <c:pt idx="140">
                  <c:v>19.8859578437025</c:v>
                </c:pt>
                <c:pt idx="141">
                  <c:v>19.6000255374366</c:v>
                </c:pt>
                <c:pt idx="142">
                  <c:v>19.3154017249345</c:v>
                </c:pt>
                <c:pt idx="143">
                  <c:v>19.0321291915946</c:v>
                </c:pt>
                <c:pt idx="144">
                  <c:v>18.7502475729623</c:v>
                </c:pt>
                <c:pt idx="145">
                  <c:v>18.4697933135394</c:v>
                </c:pt>
                <c:pt idx="146">
                  <c:v>18.1907996389817</c:v>
                </c:pt>
                <c:pt idx="147">
                  <c:v>17.9132965416319</c:v>
                </c:pt>
                <c:pt idx="148">
                  <c:v>17.6373107792426</c:v>
                </c:pt>
                <c:pt idx="149">
                  <c:v>17.3628658866523</c:v>
                </c:pt>
                <c:pt idx="150">
                  <c:v>17.0899822000938</c:v>
                </c:pt>
                <c:pt idx="151">
                  <c:v>16.8186768937202</c:v>
                </c:pt>
                <c:pt idx="152">
                  <c:v>16.548964027862</c:v>
                </c:pt>
                <c:pt idx="153">
                  <c:v>16.2808546084459</c:v>
                </c:pt>
                <c:pt idx="154">
                  <c:v>16.014356656938</c:v>
                </c:pt>
                <c:pt idx="155">
                  <c:v>15.7494752901158</c:v>
                </c:pt>
                <c:pt idx="156">
                  <c:v>15.4862128089121</c:v>
                </c:pt>
                <c:pt idx="157">
                  <c:v>15.2245687955361</c:v>
                </c:pt>
                <c:pt idx="158">
                  <c:v>14.9645402180343</c:v>
                </c:pt>
                <c:pt idx="159">
                  <c:v>14.7061215414324</c:v>
                </c:pt>
                <c:pt idx="160">
                  <c:v>14.4493048445786</c:v>
                </c:pt>
                <c:pt idx="161">
                  <c:v>14.1940799418021</c:v>
                </c:pt>
                <c:pt idx="162">
                  <c:v>13.9404345085035</c:v>
                </c:pt>
                <c:pt idx="163">
                  <c:v>13.688354209802</c:v>
                </c:pt>
                <c:pt idx="164">
                  <c:v>13.4378228313843</c:v>
                </c:pt>
                <c:pt idx="165">
                  <c:v>13.1888224117277</c:v>
                </c:pt>
                <c:pt idx="166">
                  <c:v>12.9413333748989</c:v>
                </c:pt>
                <c:pt idx="167">
                  <c:v>12.6953346631766</c:v>
                </c:pt>
                <c:pt idx="168">
                  <c:v>12.4508038687841</c:v>
                </c:pt>
                <c:pt idx="169">
                  <c:v>12.2077173640695</c:v>
                </c:pt>
                <c:pt idx="170">
                  <c:v>11.966050429527</c:v>
                </c:pt>
                <c:pt idx="171">
                  <c:v>11.7257773791022</c:v>
                </c:pt>
                <c:pt idx="172">
                  <c:v>11.486871682285</c:v>
                </c:pt>
                <c:pt idx="173">
                  <c:v>11.2493060825511</c:v>
                </c:pt>
                <c:pt idx="174">
                  <c:v>11.0130527117682</c:v>
                </c:pt>
                <c:pt idx="175">
                  <c:v>10.7780832002439</c:v>
                </c:pt>
                <c:pt idx="176">
                  <c:v>10.5443687821437</c:v>
                </c:pt>
                <c:pt idx="177">
                  <c:v>10.3118803960661</c:v>
                </c:pt>
                <c:pt idx="178">
                  <c:v>10.0805887806091</c:v>
                </c:pt>
                <c:pt idx="179">
                  <c:v>9.85046456481257</c:v>
                </c:pt>
                <c:pt idx="180">
                  <c:v>9.62147835340928</c:v>
                </c:pt>
                <c:pt idx="181">
                  <c:v>9.39360080685553</c:v>
                </c:pt>
                <c:pt idx="182">
                  <c:v>9.1668027161535</c:v>
                </c:pt>
                <c:pt idx="183">
                  <c:v>8.94105507251298</c:v>
                </c:pt>
                <c:pt idx="184">
                  <c:v>8.7163291319313</c:v>
                </c:pt>
                <c:pt idx="185">
                  <c:v>8.49259647479822</c:v>
                </c:pt>
                <c:pt idx="186">
                  <c:v>8.2698290606573</c:v>
                </c:pt>
                <c:pt idx="187">
                  <c:v>8.04799927827592</c:v>
                </c:pt>
                <c:pt idx="188">
                  <c:v>7.82707999119524</c:v>
                </c:pt>
                <c:pt idx="189">
                  <c:v>7.60704457894426</c:v>
                </c:pt>
                <c:pt idx="190">
                  <c:v>7.38786697411518</c:v>
                </c:pt>
                <c:pt idx="191">
                  <c:v>7.16952169550509</c:v>
                </c:pt>
                <c:pt idx="192">
                  <c:v>6.95198387753748</c:v>
                </c:pt>
                <c:pt idx="193">
                  <c:v>6.73522929617733</c:v>
                </c:pt>
                <c:pt idx="194">
                  <c:v>6.5192343915611</c:v>
                </c:pt>
                <c:pt idx="195">
                  <c:v>6.30397628755683</c:v>
                </c:pt>
                <c:pt idx="196">
                  <c:v>6.08943280847345</c:v>
                </c:pt>
                <c:pt idx="197">
                  <c:v>5.87558249313239</c:v>
                </c:pt>
                <c:pt idx="198">
                  <c:v>5.6624046065105</c:v>
                </c:pt>
                <c:pt idx="199">
                  <c:v>5.44987914916019</c:v>
                </c:pt>
                <c:pt idx="200">
                  <c:v>5.23798686460304</c:v>
                </c:pt>
                <c:pt idx="201">
                  <c:v>5.02670924488937</c:v>
                </c:pt>
                <c:pt idx="202">
                  <c:v>4.81602853450825</c:v>
                </c:pt>
                <c:pt idx="203">
                  <c:v>4.60592773282088</c:v>
                </c:pt>
                <c:pt idx="204">
                  <c:v>4.39639059518807</c:v>
                </c:pt>
                <c:pt idx="205">
                  <c:v>4.18740163294796</c:v>
                </c:pt>
                <c:pt idx="206">
                  <c:v>3.97894611239711</c:v>
                </c:pt>
                <c:pt idx="207">
                  <c:v>3.77101005291322</c:v>
                </c:pt>
                <c:pt idx="208">
                  <c:v>3.56358022435367</c:v>
                </c:pt>
                <c:pt idx="209">
                  <c:v>3.3566441438559</c:v>
                </c:pt>
                <c:pt idx="210">
                  <c:v>3.15019007215056</c:v>
                </c:pt>
                <c:pt idx="211">
                  <c:v>2.94420700949905</c:v>
                </c:pt>
                <c:pt idx="212">
                  <c:v>2.7386846913515</c:v>
                </c:pt>
                <c:pt idx="213">
                  <c:v>2.5336135838171</c:v>
                </c:pt>
                <c:pt idx="214">
                  <c:v>2.32898487902987</c:v>
                </c:pt>
                <c:pt idx="215">
                  <c:v>2.12479049048456</c:v>
                </c:pt>
                <c:pt idx="216">
                  <c:v>1.92102304841212</c:v>
                </c:pt>
                <c:pt idx="217">
                  <c:v>1.71767589525481</c:v>
                </c:pt>
                <c:pt idx="218">
                  <c:v>1.5147430812955</c:v>
                </c:pt>
                <c:pt idx="219">
                  <c:v>1.31221936048831</c:v>
                </c:pt>
                <c:pt idx="220">
                  <c:v>1.11010018653344</c:v>
                </c:pt>
                <c:pt idx="221">
                  <c:v>0.908381709227962</c:v>
                </c:pt>
                <c:pt idx="222">
                  <c:v>0.70706077112556</c:v>
                </c:pt>
                <c:pt idx="223">
                  <c:v>0.506134904523695</c:v>
                </c:pt>
                <c:pt idx="224">
                  <c:v>0.305602328799552</c:v>
                </c:pt>
                <c:pt idx="225">
                  <c:v>0.105461948102678</c:v>
                </c:pt>
                <c:pt idx="226">
                  <c:v>-0.0942866505859554</c:v>
                </c:pt>
                <c:pt idx="227">
                  <c:v>-0.293643199031528</c:v>
                </c:pt>
                <c:pt idx="228">
                  <c:v>-0.492606748962105</c:v>
                </c:pt>
                <c:pt idx="229">
                  <c:v>-0.69117567293512</c:v>
                </c:pt>
                <c:pt idx="230">
                  <c:v>-0.889347664869727</c:v>
                </c:pt>
                <c:pt idx="231">
                  <c:v>-1.08711974026547</c:v>
                </c:pt>
                <c:pt idx="232">
                  <c:v>-1.28448823613417</c:v>
                </c:pt>
                <c:pt idx="233">
                  <c:v>-1.48144881067548</c:v>
                </c:pt>
                <c:pt idx="234">
                  <c:v>-1.67799644273415</c:v>
                </c:pt>
                <c:pt idx="235">
                  <c:v>-1.87412543108179</c:v>
                </c:pt>
                <c:pt idx="236">
                  <c:v>-2.06982939357059</c:v>
                </c:pt>
                <c:pt idx="237">
                  <c:v>-2.2651012662126</c:v>
                </c:pt>
                <c:pt idx="238">
                  <c:v>-2.45993330224482</c:v>
                </c:pt>
                <c:pt idx="239">
                  <c:v>-2.65431707124457</c:v>
                </c:pt>
                <c:pt idx="240">
                  <c:v>-2.84824345836585</c:v>
                </c:pt>
                <c:pt idx="241">
                  <c:v>-3.04170266377342</c:v>
                </c:pt>
                <c:pt idx="242">
                  <c:v>-3.23468420235736</c:v>
                </c:pt>
                <c:pt idx="243">
                  <c:v>-3.42717690381485</c:v>
                </c:pt>
                <c:pt idx="244">
                  <c:v>-3.61916891319468</c:v>
                </c:pt>
                <c:pt idx="245">
                  <c:v>-3.81064769200133</c:v>
                </c:pt>
                <c:pt idx="246">
                  <c:v>-4.00160001996546</c:v>
                </c:pt>
                <c:pt idx="247">
                  <c:v>-4.19201199758852</c:v>
                </c:pt>
                <c:pt idx="248">
                  <c:v>-4.38186904957668</c:v>
                </c:pt>
                <c:pt idx="249">
                  <c:v>-4.57115592928283</c:v>
                </c:pt>
                <c:pt idx="250">
                  <c:v>-4.75985672427855</c:v>
                </c:pt>
                <c:pt idx="251">
                  <c:v>-4.94795486318301</c:v>
                </c:pt>
                <c:pt idx="252">
                  <c:v>-5.13543312387689</c:v>
                </c:pt>
                <c:pt idx="253">
                  <c:v>-5.32227364323075</c:v>
                </c:pt>
                <c:pt idx="254">
                  <c:v>-5.50845792848158</c:v>
                </c:pt>
                <c:pt idx="255">
                  <c:v>-5.69396687038528</c:v>
                </c:pt>
                <c:pt idx="256">
                  <c:v>-5.87878075827886</c:v>
                </c:pt>
                <c:pt idx="257">
                  <c:v>-6.06287929717529</c:v>
                </c:pt>
                <c:pt idx="258">
                  <c:v>-6.24624162701698</c:v>
                </c:pt>
                <c:pt idx="259">
                  <c:v>-6.42884634420361</c:v>
                </c:pt>
                <c:pt idx="260">
                  <c:v>-6.61067152550458</c:v>
                </c:pt>
                <c:pt idx="261">
                  <c:v>-6.79169475445553</c:v>
                </c:pt>
                <c:pt idx="262">
                  <c:v>-6.9718931503283</c:v>
                </c:pt>
                <c:pt idx="263">
                  <c:v>-7.15124339975006</c:v>
                </c:pt>
                <c:pt idx="264">
                  <c:v>-7.32972179103031</c:v>
                </c:pt>
                <c:pt idx="265">
                  <c:v>-7.50730425123914</c:v>
                </c:pt>
                <c:pt idx="266">
                  <c:v>-7.68396638605689</c:v>
                </c:pt>
                <c:pt idx="267">
                  <c:v>-7.85968352239698</c:v>
                </c:pt>
                <c:pt idx="268">
                  <c:v>-8.03443075377542</c:v>
                </c:pt>
                <c:pt idx="269">
                  <c:v>-8.20818298837729</c:v>
                </c:pt>
                <c:pt idx="270">
                  <c:v>-8.38091499973978</c:v>
                </c:pt>
                <c:pt idx="271">
                  <c:v>-8.55260147994383</c:v>
                </c:pt>
                <c:pt idx="272">
                  <c:v>-8.72321709517357</c:v>
                </c:pt>
                <c:pt idx="273">
                  <c:v>-8.89273654347093</c:v>
                </c:pt>
                <c:pt idx="274">
                  <c:v>-9.06113461448084</c:v>
                </c:pt>
                <c:pt idx="275">
                  <c:v>-9.2283862509492</c:v>
                </c:pt>
                <c:pt idx="276">
                  <c:v>-9.39446661170322</c:v>
                </c:pt>
                <c:pt idx="277">
                  <c:v>-9.55935113581349</c:v>
                </c:pt>
                <c:pt idx="278">
                  <c:v>-9.72301560760698</c:v>
                </c:pt>
                <c:pt idx="279">
                  <c:v>-9.88543622217391</c:v>
                </c:pt>
                <c:pt idx="280">
                  <c:v>-10.0465896509868</c:v>
                </c:pt>
                <c:pt idx="281">
                  <c:v>-10.2064531072324</c:v>
                </c:pt>
                <c:pt idx="282">
                  <c:v>-10.3650044104387</c:v>
                </c:pt>
                <c:pt idx="283">
                  <c:v>-10.5222220499748</c:v>
                </c:pt>
                <c:pt idx="284">
                  <c:v>-10.6780852469914</c:v>
                </c:pt>
                <c:pt idx="285">
                  <c:v>-10.8325740143801</c:v>
                </c:pt>
                <c:pt idx="286">
                  <c:v>-10.9856692143343</c:v>
                </c:pt>
                <c:pt idx="287">
                  <c:v>-11.137352613116</c:v>
                </c:pt>
                <c:pt idx="288">
                  <c:v>-11.2876069326586</c:v>
                </c:pt>
                <c:pt idx="289">
                  <c:v>-11.4364158986673</c:v>
                </c:pt>
                <c:pt idx="290">
                  <c:v>-11.5837642849246</c:v>
                </c:pt>
                <c:pt idx="291">
                  <c:v>-11.7296379535537</c:v>
                </c:pt>
                <c:pt idx="292">
                  <c:v>-11.8740238910523</c:v>
                </c:pt>
                <c:pt idx="293">
                  <c:v>-12.0169102399702</c:v>
                </c:pt>
                <c:pt idx="294">
                  <c:v>-12.1582863261714</c:v>
                </c:pt>
                <c:pt idx="295">
                  <c:v>-12.2981426816966</c:v>
                </c:pt>
                <c:pt idx="296">
                  <c:v>-12.4364710633135</c:v>
                </c:pt>
                <c:pt idx="297">
                  <c:v>-12.573264466921</c:v>
                </c:pt>
                <c:pt idx="298">
                  <c:v>-12.7085171380455</c:v>
                </c:pt>
                <c:pt idx="299">
                  <c:v>-12.8422245787468</c:v>
                </c:pt>
                <c:pt idx="300">
                  <c:v>-12.9743835513141</c:v>
                </c:pt>
                <c:pt idx="301">
                  <c:v>-13.1049920792003</c:v>
                </c:pt>
                <c:pt idx="302">
                  <c:v>-13.2340494456958</c:v>
                </c:pt>
                <c:pt idx="303">
                  <c:v>-13.361556190891</c:v>
                </c:pt>
                <c:pt idx="304">
                  <c:v>-13.4875141075112</c:v>
                </c:pt>
                <c:pt idx="305">
                  <c:v>-13.6119262362321</c:v>
                </c:pt>
                <c:pt idx="306">
                  <c:v>-13.7347968610889</c:v>
                </c:pt>
                <c:pt idx="307">
                  <c:v>-13.8561315055954</c:v>
                </c:pt>
                <c:pt idx="308">
                  <c:v>-13.9759369301642</c:v>
                </c:pt>
                <c:pt idx="309">
                  <c:v>-14.0942211313903</c:v>
                </c:pt>
                <c:pt idx="310">
                  <c:v>-14.2109933437085</c:v>
                </c:pt>
                <c:pt idx="311">
                  <c:v>-14.3262640438807</c:v>
                </c:pt>
                <c:pt idx="312">
                  <c:v>-14.4400449586913</c:v>
                </c:pt>
                <c:pt idx="313">
                  <c:v>-14.5523490761455</c:v>
                </c:pt>
                <c:pt idx="314">
                  <c:v>-14.6631906603788</c:v>
                </c:pt>
                <c:pt idx="315">
                  <c:v>-14.7725852703764</c:v>
                </c:pt>
                <c:pt idx="316">
                  <c:v>-14.8805497825073</c:v>
                </c:pt>
                <c:pt idx="317">
                  <c:v>-14.9871024167638</c:v>
                </c:pt>
                <c:pt idx="318">
                  <c:v>-15.0922627664948</c:v>
                </c:pt>
                <c:pt idx="319">
                  <c:v>-15.1960518313139</c:v>
                </c:pt>
                <c:pt idx="320">
                  <c:v>-15.29849205277</c:v>
                </c:pt>
                <c:pt idx="321">
                  <c:v>-15.3996073522684</c:v>
                </c:pt>
                <c:pt idx="322">
                  <c:v>-15.4994231706532</c:v>
                </c:pt>
                <c:pt idx="323">
                  <c:v>-15.5979665087892</c:v>
                </c:pt>
                <c:pt idx="324">
                  <c:v>-15.6952659684185</c:v>
                </c:pt>
                <c:pt idx="325">
                  <c:v>-15.7913517925263</c:v>
                </c:pt>
                <c:pt idx="326">
                  <c:v>-15.8862559044117</c:v>
                </c:pt>
                <c:pt idx="327">
                  <c:v>-15.9800119446483</c:v>
                </c:pt>
                <c:pt idx="328">
                  <c:v>-16.072655305112</c:v>
                </c:pt>
                <c:pt idx="329">
                  <c:v>-16.1642231592669</c:v>
                </c:pt>
                <c:pt idx="330">
                  <c:v>-16.2547544879227</c:v>
                </c:pt>
                <c:pt idx="331">
                  <c:v>-16.3442900997156</c:v>
                </c:pt>
                <c:pt idx="332">
                  <c:v>-16.4328726456148</c:v>
                </c:pt>
                <c:pt idx="333">
                  <c:v>-16.5205466268078</c:v>
                </c:pt>
                <c:pt idx="334">
                  <c:v>-16.6073583953934</c:v>
                </c:pt>
                <c:pt idx="335">
                  <c:v>-16.6933561473749</c:v>
                </c:pt>
                <c:pt idx="336">
                  <c:v>-16.7785899075311</c:v>
                </c:pt>
                <c:pt idx="337">
                  <c:v>-16.8631115058171</c:v>
                </c:pt>
                <c:pt idx="338">
                  <c:v>-16.9469745450319</c:v>
                </c:pt>
                <c:pt idx="339">
                  <c:v>-17.0302343595739</c:v>
                </c:pt>
                <c:pt idx="340">
                  <c:v>-17.1129479651816</c:v>
                </c:pt>
                <c:pt idx="341">
                  <c:v>-17.195173999637</c:v>
                </c:pt>
                <c:pt idx="342">
                  <c:v>-17.2769726544876</c:v>
                </c:pt>
                <c:pt idx="343">
                  <c:v>-17.3584055979067</c:v>
                </c:pt>
                <c:pt idx="344">
                  <c:v>-17.4395358888847</c:v>
                </c:pt>
                <c:pt idx="345">
                  <c:v>-17.5204278829989</c:v>
                </c:pt>
                <c:pt idx="346">
                  <c:v>-17.6011471300694</c:v>
                </c:pt>
                <c:pt idx="347">
                  <c:v>-17.681760264058</c:v>
                </c:pt>
                <c:pt idx="348">
                  <c:v>-17.7623348856102</c:v>
                </c:pt>
                <c:pt idx="349">
                  <c:v>-17.8429394376856</c:v>
                </c:pt>
                <c:pt idx="350">
                  <c:v>-17.9236430747547</c:v>
                </c:pt>
                <c:pt idx="351">
                  <c:v>-18.004515526076</c:v>
                </c:pt>
                <c:pt idx="352">
                  <c:v>-18.085626953595</c:v>
                </c:pt>
                <c:pt idx="353">
                  <c:v>-18.1670478050352</c:v>
                </c:pt>
                <c:pt idx="354">
                  <c:v>-18.2488486627758</c:v>
                </c:pt>
                <c:pt idx="355">
                  <c:v>-18.3311000891318</c:v>
                </c:pt>
                <c:pt idx="356">
                  <c:v>-18.4138724686777</c:v>
                </c:pt>
                <c:pt idx="357">
                  <c:v>-18.4972358482717</c:v>
                </c:pt>
                <c:pt idx="358">
                  <c:v>-18.5812597754602</c:v>
                </c:pt>
                <c:pt idx="359">
                  <c:v>-18.6660131359584</c:v>
                </c:pt>
                <c:pt idx="360">
                  <c:v>-18.7515639909209</c:v>
                </c:pt>
                <c:pt idx="361">
                  <c:v>-18.8379794147312</c:v>
                </c:pt>
                <c:pt idx="362">
                  <c:v>-18.9253253340525</c:v>
                </c:pt>
                <c:pt idx="363">
                  <c:v>-19.0136663688944</c:v>
                </c:pt>
                <c:pt idx="364">
                  <c:v>-19.1030656764597</c:v>
                </c:pt>
                <c:pt idx="365">
                  <c:v>-19.1935847985389</c:v>
                </c:pt>
                <c:pt idx="366">
                  <c:v>-19.2852835132231</c:v>
                </c:pt>
                <c:pt idx="367">
                  <c:v>-19.3782196917034</c:v>
                </c:pt>
                <c:pt idx="368">
                  <c:v>-19.4724491609154</c:v>
                </c:pt>
                <c:pt idx="369">
                  <c:v>-19.5680255727732</c:v>
                </c:pt>
                <c:pt idx="370">
                  <c:v>-19.6650002807173</c:v>
                </c:pt>
                <c:pt idx="371">
                  <c:v>-19.7634222242738</c:v>
                </c:pt>
                <c:pt idx="372">
                  <c:v>-19.8633378222866</c:v>
                </c:pt>
                <c:pt idx="373">
                  <c:v>-19.9647908754413</c:v>
                </c:pt>
                <c:pt idx="374">
                  <c:v>-20.0678224786535</c:v>
                </c:pt>
                <c:pt idx="375">
                  <c:v>-20.1724709438332</c:v>
                </c:pt>
                <c:pt idx="376">
                  <c:v>-20.2787717334765</c:v>
                </c:pt>
                <c:pt idx="377">
                  <c:v>-20.3867574054646</c:v>
                </c:pt>
                <c:pt idx="378">
                  <c:v>-20.4964575693726</c:v>
                </c:pt>
                <c:pt idx="379">
                  <c:v>-20.607898854513</c:v>
                </c:pt>
                <c:pt idx="380">
                  <c:v>-20.7211048898501</c:v>
                </c:pt>
                <c:pt idx="381">
                  <c:v>-20.8360962958367</c:v>
                </c:pt>
                <c:pt idx="382">
                  <c:v>-20.9528906881326</c:v>
                </c:pt>
                <c:pt idx="383">
                  <c:v>-21.0715026930758</c:v>
                </c:pt>
                <c:pt idx="384">
                  <c:v>-21.1919439746876</c:v>
                </c:pt>
                <c:pt idx="385">
                  <c:v>-21.3142232729051</c:v>
                </c:pt>
                <c:pt idx="386">
                  <c:v>-21.4383464526511</c:v>
                </c:pt>
                <c:pt idx="387">
                  <c:v>-21.5643165632747</c:v>
                </c:pt>
                <c:pt idx="388">
                  <c:v>-21.6921339078166</c:v>
                </c:pt>
                <c:pt idx="389">
                  <c:v>-21.8217961214941</c:v>
                </c:pt>
                <c:pt idx="390">
                  <c:v>-21.9532982587363</c:v>
                </c:pt>
                <c:pt idx="391">
                  <c:v>-22.0866328880517</c:v>
                </c:pt>
                <c:pt idx="392">
                  <c:v>-22.2217901939677</c:v>
                </c:pt>
                <c:pt idx="393">
                  <c:v>-22.3587580852517</c:v>
                </c:pt>
                <c:pt idx="394">
                  <c:v>-22.4975223085971</c:v>
                </c:pt>
                <c:pt idx="395">
                  <c:v>-22.6380665669464</c:v>
                </c:pt>
                <c:pt idx="396">
                  <c:v>-22.7803726416192</c:v>
                </c:pt>
                <c:pt idx="397">
                  <c:v>-22.9244205174171</c:v>
                </c:pt>
                <c:pt idx="398">
                  <c:v>-23.0701885098929</c:v>
                </c:pt>
                <c:pt idx="399">
                  <c:v>-23.2176533939891</c:v>
                </c:pt>
                <c:pt idx="400">
                  <c:v>-23.3667905332837</c:v>
                </c:pt>
                <c:pt idx="401">
                  <c:v>-23.5175740091142</c:v>
                </c:pt>
                <c:pt idx="402">
                  <c:v>-23.6699767488908</c:v>
                </c:pt>
                <c:pt idx="403">
                  <c:v>-23.8239706529571</c:v>
                </c:pt>
                <c:pt idx="404">
                  <c:v>-23.9795267194036</c:v>
                </c:pt>
                <c:pt idx="405">
                  <c:v>-24.1366151662942</c:v>
                </c:pt>
                <c:pt idx="406">
                  <c:v>-24.2952055508177</c:v>
                </c:pt>
                <c:pt idx="407">
                  <c:v>-24.4552668849318</c:v>
                </c:pt>
                <c:pt idx="408">
                  <c:v>-24.6167677471251</c:v>
                </c:pt>
                <c:pt idx="409">
                  <c:v>-24.7796763899759</c:v>
                </c:pt>
                <c:pt idx="410">
                  <c:v>-24.9439608432407</c:v>
                </c:pt>
                <c:pt idx="411">
                  <c:v>-25.1095890122605</c:v>
                </c:pt>
                <c:pt idx="412">
                  <c:v>-25.2765287715213</c:v>
                </c:pt>
                <c:pt idx="413">
                  <c:v>-25.4447480532537</c:v>
                </c:pt>
                <c:pt idx="414">
                  <c:v>-25.6142149310042</c:v>
                </c:pt>
                <c:pt idx="415">
                  <c:v>-25.7848976981485</c:v>
                </c:pt>
                <c:pt idx="416">
                  <c:v>-25.9567649413611</c:v>
                </c:pt>
                <c:pt idx="417">
                  <c:v>-26.1297856090862</c:v>
                </c:pt>
                <c:pt idx="418">
                  <c:v>-26.3039290750889</c:v>
                </c:pt>
                <c:pt idx="419">
                  <c:v>-26.4791651971946</c:v>
                </c:pt>
                <c:pt idx="420">
                  <c:v>-26.655464371347</c:v>
                </c:pt>
                <c:pt idx="421">
                  <c:v>-26.8327975811392</c:v>
                </c:pt>
                <c:pt idx="422">
                  <c:v>-27.0111364429867</c:v>
                </c:pt>
                <c:pt idx="423">
                  <c:v>-27.1904532471309</c:v>
                </c:pt>
                <c:pt idx="424">
                  <c:v>-27.3707209946683</c:v>
                </c:pt>
                <c:pt idx="425">
                  <c:v>-27.5519134308151</c:v>
                </c:pt>
                <c:pt idx="426">
                  <c:v>-27.7340050746188</c:v>
                </c:pt>
                <c:pt idx="427">
                  <c:v>-27.9169712453354</c:v>
                </c:pt>
                <c:pt idx="428">
                  <c:v>-28.1007880856936</c:v>
                </c:pt>
                <c:pt idx="429">
                  <c:v>-28.2854325822646</c:v>
                </c:pt>
                <c:pt idx="430">
                  <c:v>-28.4708825831584</c:v>
                </c:pt>
                <c:pt idx="431">
                  <c:v>-28.6571168132604</c:v>
                </c:pt>
                <c:pt idx="432">
                  <c:v>-28.8441148872232</c:v>
                </c:pt>
                <c:pt idx="433">
                  <c:v>-29.031857320418</c:v>
                </c:pt>
                <c:pt idx="434">
                  <c:v>-29.2203255380462</c:v>
                </c:pt>
                <c:pt idx="435">
                  <c:v>-29.4095018826048</c:v>
                </c:pt>
                <c:pt idx="436">
                  <c:v>-29.599369619892</c:v>
                </c:pt>
                <c:pt idx="437">
                  <c:v>-29.7899129437274</c:v>
                </c:pt>
                <c:pt idx="438">
                  <c:v>-29.9811169795598</c:v>
                </c:pt>
                <c:pt idx="439">
                  <c:v>-30.1729677871175</c:v>
                </c:pt>
                <c:pt idx="440">
                  <c:v>-30.3654523622556</c:v>
                </c:pt>
                <c:pt idx="441">
                  <c:v>-30.55855863814</c:v>
                </c:pt>
                <c:pt idx="442">
                  <c:v>-30.7522754858986</c:v>
                </c:pt>
                <c:pt idx="443">
                  <c:v>-30.9465927148669</c:v>
                </c:pt>
                <c:pt idx="444">
                  <c:v>-31.1415010725357</c:v>
                </c:pt>
                <c:pt idx="445">
                  <c:v>-31.3369922443105</c:v>
                </c:pt>
                <c:pt idx="446">
                  <c:v>-31.5330588531728</c:v>
                </c:pt>
                <c:pt idx="447">
                  <c:v>-31.7296944593351</c:v>
                </c:pt>
                <c:pt idx="448">
                  <c:v>-31.9268935599605</c:v>
                </c:pt>
                <c:pt idx="449">
                  <c:v>-32.1246515890218</c:v>
                </c:pt>
                <c:pt idx="450">
                  <c:v>-32.3229649173553</c:v>
                </c:pt>
                <c:pt idx="451">
                  <c:v>-32.5218308529639</c:v>
                </c:pt>
                <c:pt idx="452">
                  <c:v>-32.7212476416113</c:v>
                </c:pt>
                <c:pt idx="453">
                  <c:v>-32.9212144677428</c:v>
                </c:pt>
                <c:pt idx="454">
                  <c:v>-33.1217314557599</c:v>
                </c:pt>
                <c:pt idx="455">
                  <c:v>-33.3227996716678</c:v>
                </c:pt>
                <c:pt idx="456">
                  <c:v>-33.5244211251046</c:v>
                </c:pt>
                <c:pt idx="457">
                  <c:v>-33.7265987717579</c:v>
                </c:pt>
                <c:pt idx="458">
                  <c:v>-33.9293365161619</c:v>
                </c:pt>
                <c:pt idx="459">
                  <c:v>-34.132639214862</c:v>
                </c:pt>
                <c:pt idx="460">
                  <c:v>-34.3365126799254</c:v>
                </c:pt>
                <c:pt idx="461">
                  <c:v>-34.5409636827698</c:v>
                </c:pt>
                <c:pt idx="462">
                  <c:v>-34.7459999582699</c:v>
                </c:pt>
                <c:pt idx="463">
                  <c:v>-34.951630209098</c:v>
                </c:pt>
                <c:pt idx="464">
                  <c:v>-35.1578641102433</c:v>
                </c:pt>
                <c:pt idx="465">
                  <c:v>-35.3647123136473</c:v>
                </c:pt>
                <c:pt idx="466">
                  <c:v>-35.5721864528829</c:v>
                </c:pt>
                <c:pt idx="467">
                  <c:v>-35.7802991477971</c:v>
                </c:pt>
                <c:pt idx="468">
                  <c:v>-35.9890640090287</c:v>
                </c:pt>
                <c:pt idx="469">
                  <c:v>-36.1984956423004</c:v>
                </c:pt>
                <c:pt idx="470">
                  <c:v>-36.4086096523798</c:v>
                </c:pt>
                <c:pt idx="471">
                  <c:v>-36.6194226465901</c:v>
                </c:pt>
                <c:pt idx="472">
                  <c:v>-36.8309522377461</c:v>
                </c:pt>
                <c:pt idx="473">
                  <c:v>-37.0432170463785</c:v>
                </c:pt>
                <c:pt idx="474">
                  <c:v>-37.2562367021034</c:v>
                </c:pt>
                <c:pt idx="475">
                  <c:v>-37.4700318439806</c:v>
                </c:pt>
                <c:pt idx="476">
                  <c:v>-37.6846241196997</c:v>
                </c:pt>
                <c:pt idx="477">
                  <c:v>-37.9000361834235</c:v>
                </c:pt>
                <c:pt idx="478">
                  <c:v>-38.1162916921061</c:v>
                </c:pt>
                <c:pt idx="479">
                  <c:v>-38.3334153001016</c:v>
                </c:pt>
                <c:pt idx="480">
                  <c:v>-38.5514326518681</c:v>
                </c:pt>
                <c:pt idx="481">
                  <c:v>-38.7703703725655</c:v>
                </c:pt>
                <c:pt idx="482">
                  <c:v>-38.9902560563434</c:v>
                </c:pt>
                <c:pt idx="483">
                  <c:v>-39.2111182521077</c:v>
                </c:pt>
                <c:pt idx="484">
                  <c:v>-39.4329864465555</c:v>
                </c:pt>
                <c:pt idx="485">
                  <c:v>-39.6558910442597</c:v>
                </c:pt>
                <c:pt idx="486">
                  <c:v>-39.8798633445973</c:v>
                </c:pt>
                <c:pt idx="487">
                  <c:v>-40.1049355153013</c:v>
                </c:pt>
                <c:pt idx="488">
                  <c:v>-40.3311405624374</c:v>
                </c:pt>
                <c:pt idx="489">
                  <c:v>-40.5585122965986</c:v>
                </c:pt>
                <c:pt idx="490">
                  <c:v>-40.7870852951327</c:v>
                </c:pt>
                <c:pt idx="491">
                  <c:v>-41.016894860218</c:v>
                </c:pt>
                <c:pt idx="492">
                  <c:v>-41.2479769726283</c:v>
                </c:pt>
                <c:pt idx="493">
                  <c:v>-41.4803682410375</c:v>
                </c:pt>
                <c:pt idx="494">
                  <c:v>-41.7141058467399</c:v>
                </c:pt>
                <c:pt idx="495">
                  <c:v>-41.9492274836878</c:v>
                </c:pt>
                <c:pt idx="496">
                  <c:v>-42.18577129377</c:v>
                </c:pt>
                <c:pt idx="497">
                  <c:v>-42.4237757972946</c:v>
                </c:pt>
                <c:pt idx="498">
                  <c:v>-42.663279818666</c:v>
                </c:pt>
                <c:pt idx="499">
                  <c:v>-42.904322407291</c:v>
                </c:pt>
                <c:pt idx="500">
                  <c:v>-43.1469427537853</c:v>
                </c:pt>
                <c:pt idx="501">
                  <c:v>-43.3911801015984</c:v>
                </c:pt>
                <c:pt idx="502">
                  <c:v>-43.6370736542227</c:v>
                </c:pt>
                <c:pt idx="503">
                  <c:v>-43.8846624781967</c:v>
                </c:pt>
                <c:pt idx="504">
                  <c:v>-44.1339854021725</c:v>
                </c:pt>
                <c:pt idx="505">
                  <c:v>-44.3850809123606</c:v>
                </c:pt>
                <c:pt idx="506">
                  <c:v>-44.637987044723</c:v>
                </c:pt>
                <c:pt idx="507">
                  <c:v>-44.8927412743402</c:v>
                </c:pt>
                <c:pt idx="508">
                  <c:v>-45.1493804024258</c:v>
                </c:pt>
                <c:pt idx="509">
                  <c:v>-45.4079404415161</c:v>
                </c:pt>
                <c:pt idx="510">
                  <c:v>-45.6684564994107</c:v>
                </c:pt>
                <c:pt idx="511">
                  <c:v>-45.9309626624828</c:v>
                </c:pt>
                <c:pt idx="512">
                  <c:v>-46.1954918790229</c:v>
                </c:pt>
                <c:pt idx="513">
                  <c:v>-46.4620758433099</c:v>
                </c:pt>
                <c:pt idx="514">
                  <c:v>-46.7307448811407</c:v>
                </c:pt>
                <c:pt idx="515">
                  <c:v>-47.0015278375639</c:v>
                </c:pt>
                <c:pt idx="516">
                  <c:v>-47.2744519675866</c:v>
                </c:pt>
                <c:pt idx="517">
                  <c:v>-47.549542830626</c:v>
                </c:pt>
                <c:pt idx="518">
                  <c:v>-47.8268241894757</c:v>
                </c:pt>
                <c:pt idx="519">
                  <c:v>-48.1063179145483</c:v>
                </c:pt>
                <c:pt idx="520">
                  <c:v>-48.3880438941349</c:v>
                </c:pt>
                <c:pt idx="521">
                  <c:v>-48.6720199513889</c:v>
                </c:pt>
                <c:pt idx="522">
                  <c:v>-48.9582617687069</c:v>
                </c:pt>
                <c:pt idx="523">
                  <c:v>-49.2467828201277</c:v>
                </c:pt>
                <c:pt idx="524">
                  <c:v>-49.5375943123133</c:v>
                </c:pt>
                <c:pt idx="525">
                  <c:v>-49.8307051346118</c:v>
                </c:pt>
                <c:pt idx="526">
                  <c:v>-50.1261218186236</c:v>
                </c:pt>
                <c:pt idx="527">
                  <c:v>-50.4238485076235</c:v>
                </c:pt>
                <c:pt idx="528">
                  <c:v>-50.7238869360927</c:v>
                </c:pt>
                <c:pt idx="529">
                  <c:v>-51.0262364195394</c:v>
                </c:pt>
                <c:pt idx="530">
                  <c:v>-51.3308938546845</c:v>
                </c:pt>
                <c:pt idx="531">
                  <c:v>-51.6378537300037</c:v>
                </c:pt>
                <c:pt idx="532">
                  <c:v>-51.9471081465209</c:v>
                </c:pt>
                <c:pt idx="533">
                  <c:v>-52.2586468486581</c:v>
                </c:pt>
                <c:pt idx="534">
                  <c:v>-52.5724572648582</c:v>
                </c:pt>
                <c:pt idx="535">
                  <c:v>-52.8885245576159</c:v>
                </c:pt>
                <c:pt idx="536">
                  <c:v>-53.2068316824679</c:v>
                </c:pt>
                <c:pt idx="537">
                  <c:v>-53.5273594554304</c:v>
                </c:pt>
                <c:pt idx="538">
                  <c:v>-53.8500866283001</c:v>
                </c:pt>
                <c:pt idx="539">
                  <c:v>-54.1749899711835</c:v>
                </c:pt>
                <c:pt idx="540">
                  <c:v>-54.5020443615696</c:v>
                </c:pt>
                <c:pt idx="541">
                  <c:v>-54.831222879228</c:v>
                </c:pt>
              </c:numCache>
            </c:numRef>
          </c:yVal>
          <c:smooth val="1"/>
        </c:ser>
        <c:ser>
          <c:idx val="2"/>
          <c:order val="2"/>
          <c:tx>
            <c:strRef>
              <c:f>"f_LP"</c:f>
              <c:strCache>
                <c:ptCount val="1"/>
                <c:pt idx="0">
                  <c:v>f_LP</c:v>
                </c:pt>
              </c:strCache>
            </c:strRef>
          </c:tx>
          <c:spPr>
            <a:ln w="38100" cap="rnd" cmpd="sng" algn="ctr">
              <a:solidFill>
                <a:schemeClr val="accent3">
                  <a:shade val="76667"/>
                  <a:shade val="95000"/>
                  <a:satMod val="105000"/>
                </a:schemeClr>
              </a:solidFill>
              <a:prstDash val="solid"/>
              <a:round/>
            </a:ln>
          </c:spPr>
          <c:marker>
            <c:symbol val="x"/>
            <c:size val="7"/>
            <c:spPr>
              <a:noFill/>
            </c:spPr>
          </c:marker>
          <c:dPt>
            <c:idx val="0"/>
            <c:marker>
              <c:symbol val="x"/>
              <c:size val="7"/>
              <c:spPr>
                <a:noFill/>
                <a:ln w="19050" cap="flat" cmpd="sng" algn="ctr">
                  <a:solidFill>
                    <a:schemeClr val="tx1"/>
                  </a:solidFill>
                  <a:prstDash val="solid"/>
                  <a:round/>
                </a:ln>
              </c:spPr>
            </c:marker>
            <c:bubble3D val="0"/>
          </c:dPt>
          <c:dLbls>
            <c:dLbl>
              <c:idx val="0"/>
              <c:layout/>
              <c:tx>
                <c:rich>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r>
                      <a:rPr lang="en-US" sz="1100" b="1"/>
                      <a:t>f</a:t>
                    </a:r>
                    <a:r>
                      <a:rPr lang="en-US" sz="1100" b="1" baseline="-25000"/>
                      <a:t>LP</a:t>
                    </a:r>
                    <a:endParaRPr lang="en-US" b="1" baseline="-25000"/>
                  </a:p>
                </c:rich>
              </c:tx>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Loop_Modeling!$O$11</c:f>
              <c:numCache>
                <c:formatCode>0</c:formatCode>
                <c:ptCount val="1"/>
                <c:pt idx="0">
                  <c:v>97.4418018929972</c:v>
                </c:pt>
              </c:numCache>
            </c:numRef>
          </c:xVal>
          <c:yVal>
            <c:numRef>
              <c:f>Loop_Modeling!$BL$11</c:f>
              <c:numCache>
                <c:formatCode>General</c:formatCode>
                <c:ptCount val="1"/>
                <c:pt idx="0">
                  <c:v>32.247648354496</c:v>
                </c:pt>
              </c:numCache>
            </c:numRef>
          </c:yVal>
          <c:smooth val="0"/>
        </c:ser>
        <c:ser>
          <c:idx val="3"/>
          <c:order val="3"/>
          <c:tx>
            <c:strRef>
              <c:f>"fz_rhp"</c:f>
              <c:strCache>
                <c:ptCount val="1"/>
                <c:pt idx="0">
                  <c:v>fz_rhp</c:v>
                </c:pt>
              </c:strCache>
            </c:strRef>
          </c:tx>
          <c:spPr>
            <a:ln w="28575" cap="rnd" cmpd="sng" algn="ctr">
              <a:solidFill>
                <a:schemeClr val="tx1"/>
              </a:solidFill>
              <a:prstDash val="solid"/>
              <a:round/>
            </a:ln>
          </c:spPr>
          <c:marker>
            <c:symbol val="circle"/>
            <c:size val="7"/>
            <c:spPr>
              <a:noFill/>
              <a:ln w="19050" cap="flat" cmpd="sng" algn="ctr">
                <a:solidFill>
                  <a:schemeClr val="tx1"/>
                </a:solidFill>
                <a:prstDash val="solid"/>
                <a:round/>
              </a:ln>
            </c:spPr>
          </c:marker>
          <c:dLbls>
            <c:dLbl>
              <c:idx val="0"/>
              <c:layout>
                <c:manualLayout>
                  <c:x val="0.00805012095614235"/>
                  <c:y val="-0.0154936672785042"/>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Loop_Modeling!$O$9</c:f>
              <c:numCache>
                <c:formatCode>0</c:formatCode>
                <c:ptCount val="1"/>
                <c:pt idx="0">
                  <c:v>19350.1450567654</c:v>
                </c:pt>
              </c:numCache>
            </c:numRef>
          </c:xVal>
          <c:yVal>
            <c:numRef>
              <c:f>Loop_Modeling!$BL$9</c:f>
              <c:numCache>
                <c:formatCode>General</c:formatCode>
                <c:ptCount val="1"/>
                <c:pt idx="0">
                  <c:v>-16.0420579010594</c:v>
                </c:pt>
              </c:numCache>
            </c:numRef>
          </c:yVal>
          <c:smooth val="1"/>
        </c:ser>
        <c:ser>
          <c:idx val="4"/>
          <c:order val="4"/>
          <c:tx>
            <c:strRef>
              <c:f>"f_esr"</c:f>
              <c:strCache>
                <c:ptCount val="1"/>
                <c:pt idx="0">
                  <c:v>f_esr</c:v>
                </c:pt>
              </c:strCache>
            </c:strRef>
          </c:tx>
          <c:spPr>
            <a:ln w="28575" cap="rnd" cmpd="sng" algn="ctr">
              <a:noFill/>
              <a:prstDash val="solid"/>
              <a:round/>
            </a:ln>
          </c:spPr>
          <c:marker>
            <c:symbol val="circle"/>
            <c:size val="5"/>
            <c:spPr>
              <a:noFill/>
              <a:ln w="19050" cap="flat" cmpd="sng" algn="ctr">
                <a:solidFill>
                  <a:schemeClr val="tx1"/>
                </a:solidFill>
                <a:prstDash val="solid"/>
                <a:round/>
              </a:ln>
            </c:spPr>
          </c:marker>
          <c:dPt>
            <c:idx val="0"/>
            <c:marker>
              <c:symbol val="circle"/>
              <c:size val="7"/>
              <c:spPr>
                <a:noFill/>
                <a:ln w="19050" cap="flat" cmpd="sng" algn="ctr">
                  <a:solidFill>
                    <a:schemeClr val="tx1"/>
                  </a:solidFill>
                  <a:prstDash val="solid"/>
                  <a:round/>
                </a:ln>
              </c:spPr>
            </c:marker>
            <c:bubble3D val="0"/>
          </c:dPt>
          <c:dLbls>
            <c:dLbl>
              <c:idx val="0"/>
              <c:layout>
                <c:manualLayout>
                  <c:x val="-0.0599047448989965"/>
                  <c:y val="-0.0124571934900871"/>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t"/>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Loop_Modeling!$O$10</c:f>
              <c:numCache>
                <c:formatCode>0</c:formatCode>
                <c:ptCount val="1"/>
                <c:pt idx="0">
                  <c:v>10150.1876971872</c:v>
                </c:pt>
              </c:numCache>
            </c:numRef>
          </c:xVal>
          <c:yVal>
            <c:numRef>
              <c:f>Loop_Modeling!$BL$10</c:f>
              <c:numCache>
                <c:formatCode>General</c:formatCode>
                <c:ptCount val="1"/>
                <c:pt idx="0">
                  <c:v>-12.9279621520764</c:v>
                </c:pt>
              </c:numCache>
            </c:numRef>
          </c:yVal>
          <c:smooth val="1"/>
        </c:ser>
        <c:ser>
          <c:idx val="5"/>
          <c:order val="5"/>
          <c:tx>
            <c:strRef>
              <c:f>"fz_ea"</c:f>
              <c:strCache>
                <c:ptCount val="1"/>
                <c:pt idx="0">
                  <c:v>fz_ea</c:v>
                </c:pt>
              </c:strCache>
            </c:strRef>
          </c:tx>
          <c:marker>
            <c:symbol val="circle"/>
            <c:size val="8"/>
            <c:spPr>
              <a:noFill/>
              <a:ln w="25400" cap="flat" cmpd="sng" algn="ctr">
                <a:solidFill>
                  <a:srgbClr val="00B0F0"/>
                </a:solidFill>
                <a:prstDash val="solid"/>
                <a:round/>
              </a:ln>
            </c:spPr>
          </c:marker>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extLst>
                <c:ext xmlns:c15="http://schemas.microsoft.com/office/drawing/2012/chart" uri="{CE6537A1-D6FC-4f65-9D91-7224C49458BB}"/>
              </c:extLst>
            </c:dLbl>
            <c:spPr>
              <a:noFill/>
              <a:ln>
                <a:noFill/>
              </a:ln>
              <a:effectLst/>
            </c:spPr>
            <c:txPr>
              <a:bodyPr rot="0" spcFirstLastPara="0" vertOverflow="ellipsis" vert="horz" wrap="square" lIns="38100" tIns="19050" rIns="38100" bIns="19050" anchor="ctr" anchorCtr="1"/>
              <a:lstStyle/>
              <a:p>
                <a:pPr>
                  <a:defRPr lang="pl-PL" sz="1000" b="0" i="0" u="none" strike="noStrike" kern="1200" baseline="0">
                    <a:solidFill>
                      <a:schemeClr val="tx1"/>
                    </a:solidFill>
                    <a:latin typeface="+mn-lt"/>
                    <a:ea typeface="+mn-ea"/>
                    <a:cs typeface="+mn-cs"/>
                  </a:defRPr>
                </a:pPr>
              </a:p>
            </c:txPr>
            <c:dLblPos val="r"/>
            <c:showLegendKey val="0"/>
            <c:showVal val="0"/>
            <c:showCatName val="0"/>
            <c:showSerName val="0"/>
            <c:showPercent val="0"/>
            <c:showBubbleSize val="0"/>
            <c:showLeaderLines val="0"/>
            <c:extLst>
              <c:ext xmlns:c15="http://schemas.microsoft.com/office/drawing/2012/chart" uri="{CE6537A1-D6FC-4f65-9D91-7224C49458BB}">
                <c15:layout/>
                <c15:showLeaderLines val="0"/>
                <c15:leaderLines/>
              </c:ext>
            </c:extLst>
          </c:dLbls>
          <c:xVal>
            <c:numRef>
              <c:f>Loop_Modeling!$O$12</c:f>
              <c:numCache>
                <c:formatCode>General</c:formatCode>
                <c:ptCount val="1"/>
                <c:pt idx="0">
                  <c:v>289.372623803446</c:v>
                </c:pt>
              </c:numCache>
            </c:numRef>
          </c:xVal>
          <c:yVal>
            <c:numRef>
              <c:f>Loop_Modeling!$BL$12</c:f>
              <c:numCache>
                <c:formatCode>General</c:formatCode>
                <c:ptCount val="1"/>
                <c:pt idx="0">
                  <c:v>18.4290399273058</c:v>
                </c:pt>
              </c:numCache>
            </c:numRef>
          </c:yVal>
          <c:smooth val="1"/>
        </c:ser>
        <c:ser>
          <c:idx val="6"/>
          <c:order val="6"/>
          <c:tx>
            <c:strRef>
              <c:f>"fp_ea"</c:f>
              <c:strCache>
                <c:ptCount val="1"/>
                <c:pt idx="0">
                  <c:v>fp_ea</c:v>
                </c:pt>
              </c:strCache>
            </c:strRef>
          </c:tx>
          <c:marker>
            <c:symbol val="x"/>
            <c:size val="7"/>
            <c:spPr>
              <a:noFill/>
              <a:ln w="25400" cap="flat" cmpd="sng" algn="ctr">
                <a:solidFill>
                  <a:srgbClr val="00B0F0"/>
                </a:solidFill>
                <a:prstDash val="solid"/>
                <a:round/>
              </a:ln>
            </c:spPr>
          </c:marker>
          <c:dLbls>
            <c:dLbl>
              <c:idx val="0"/>
              <c:layout>
                <c:manualLayout>
                  <c:x val="-0.0539957399119839"/>
                  <c:y val="0.0337125100090066"/>
                </c:manualLayout>
              </c:layout>
              <c:dLblPos val="r"/>
              <c:showLegendKey val="0"/>
              <c:showVal val="0"/>
              <c:showCatName val="0"/>
              <c:showSerName val="1"/>
              <c:showPercent val="0"/>
              <c:showBubbleSize val="0"/>
              <c:extLst>
                <c:ext xmlns:c15="http://schemas.microsoft.com/office/drawing/2012/chart" uri="{CE6537A1-D6FC-4f65-9D91-7224C49458BB}">
                  <c15:layout/>
                </c:ext>
              </c:extLst>
            </c:dLbl>
            <c:spPr>
              <a:noFill/>
              <a:ln>
                <a:noFill/>
              </a:ln>
              <a:effectLst/>
            </c:spPr>
            <c:txPr>
              <a:bodyPr rot="0" spcFirstLastPara="0" vertOverflow="ellipsis" vert="horz" wrap="square" lIns="38100" tIns="19050" rIns="38100" bIns="19050" anchor="ctr" anchorCtr="1"/>
              <a:lstStyle/>
              <a:p>
                <a:pPr>
                  <a:defRPr lang="pl-PL" sz="1000" b="1" i="0" u="none" strike="noStrike" kern="1200" baseline="0">
                    <a:solidFill>
                      <a:schemeClr val="tx1"/>
                    </a:solidFill>
                    <a:latin typeface="+mn-lt"/>
                    <a:ea typeface="+mn-ea"/>
                    <a:cs typeface="+mn-cs"/>
                  </a:defRPr>
                </a:pPr>
              </a:p>
            </c:txPr>
            <c:dLblPos val="b"/>
            <c:showLegendKey val="0"/>
            <c:showVal val="0"/>
            <c:showCatName val="0"/>
            <c:showSerName val="1"/>
            <c:showPercent val="0"/>
            <c:showBubbleSize val="0"/>
            <c:showLeaderLines val="0"/>
            <c:extLst>
              <c:ext xmlns:c15="http://schemas.microsoft.com/office/drawing/2012/chart" uri="{CE6537A1-D6FC-4f65-9D91-7224C49458BB}">
                <c15:layout/>
                <c15:showLeaderLines val="0"/>
                <c15:leaderLines/>
              </c:ext>
            </c:extLst>
          </c:dLbls>
          <c:xVal>
            <c:numRef>
              <c:f>Loop_Modeling!$O$13</c:f>
              <c:numCache>
                <c:formatCode>General</c:formatCode>
                <c:ptCount val="1"/>
                <c:pt idx="0">
                  <c:v>13834.4741635392</c:v>
                </c:pt>
              </c:numCache>
            </c:numRef>
          </c:xVal>
          <c:yVal>
            <c:numRef>
              <c:f>Loop_Modeling!$BL$13</c:f>
              <c:numCache>
                <c:formatCode>General</c:formatCode>
                <c:ptCount val="1"/>
                <c:pt idx="0">
                  <c:v>-14.5630826964542</c:v>
                </c:pt>
              </c:numCache>
            </c:numRef>
          </c:yVal>
          <c:smooth val="1"/>
        </c:ser>
        <c:dLbls>
          <c:showLegendKey val="0"/>
          <c:showVal val="0"/>
          <c:showCatName val="0"/>
          <c:showSerName val="0"/>
          <c:showPercent val="0"/>
          <c:showBubbleSize val="0"/>
        </c:dLbls>
        <c:axId val="174189952"/>
        <c:axId val="175126016"/>
      </c:scatterChart>
      <c:scatterChart>
        <c:scatterStyle val="smooth"/>
        <c:varyColors val="0"/>
        <c:ser>
          <c:idx val="1"/>
          <c:order val="1"/>
          <c:tx>
            <c:strRef>
              <c:f>"Phase (deg)"</c:f>
              <c:strCache>
                <c:ptCount val="1"/>
                <c:pt idx="0">
                  <c:v>Phase (deg)</c:v>
                </c:pt>
              </c:strCache>
            </c:strRef>
          </c:tx>
          <c:spPr>
            <a:ln w="28575"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86.0058623057596</c:v>
                </c:pt>
                <c:pt idx="1">
                  <c:v>85.9138386603732</c:v>
                </c:pt>
                <c:pt idx="2">
                  <c:v>85.8197431614423</c:v>
                </c:pt>
                <c:pt idx="3">
                  <c:v>85.7235325882717</c:v>
                </c:pt>
                <c:pt idx="4">
                  <c:v>85.6251630635294</c:v>
                </c:pt>
                <c:pt idx="5">
                  <c:v>85.5245900617633</c:v>
                </c:pt>
                <c:pt idx="6">
                  <c:v>85.4217684196751</c:v>
                </c:pt>
                <c:pt idx="7">
                  <c:v>85.3166523482851</c:v>
                </c:pt>
                <c:pt idx="8">
                  <c:v>85.2091954471326</c:v>
                </c:pt>
                <c:pt idx="9">
                  <c:v>85.0993507206633</c:v>
                </c:pt>
                <c:pt idx="10">
                  <c:v>84.9870705969643</c:v>
                </c:pt>
                <c:pt idx="11">
                  <c:v>84.8723069490151</c:v>
                </c:pt>
                <c:pt idx="12">
                  <c:v>84.7550111186344</c:v>
                </c:pt>
                <c:pt idx="13">
                  <c:v>84.6351339433093</c:v>
                </c:pt>
                <c:pt idx="14">
                  <c:v>84.5126257861067</c:v>
                </c:pt>
                <c:pt idx="15">
                  <c:v>84.3874365688718</c:v>
                </c:pt>
                <c:pt idx="16">
                  <c:v>84.2595158089349</c:v>
                </c:pt>
                <c:pt idx="17">
                  <c:v>84.128812659551</c:v>
                </c:pt>
                <c:pt idx="18">
                  <c:v>83.9952759543155</c:v>
                </c:pt>
                <c:pt idx="19">
                  <c:v>83.8588542558011</c:v>
                </c:pt>
                <c:pt idx="20">
                  <c:v>83.7194959086773</c:v>
                </c:pt>
                <c:pt idx="21">
                  <c:v>83.5771490975848</c:v>
                </c:pt>
                <c:pt idx="22">
                  <c:v>83.4317619100408</c:v>
                </c:pt>
                <c:pt idx="23">
                  <c:v>83.2832824046702</c:v>
                </c:pt>
                <c:pt idx="24">
                  <c:v>83.1316586850602</c:v>
                </c:pt>
                <c:pt idx="25">
                  <c:v>82.9768389795483</c:v>
                </c:pt>
                <c:pt idx="26">
                  <c:v>82.8187717272625</c:v>
                </c:pt>
                <c:pt idx="27">
                  <c:v>82.6574056707391</c:v>
                </c:pt>
                <c:pt idx="28">
                  <c:v>82.4926899554487</c:v>
                </c:pt>
                <c:pt idx="29">
                  <c:v>82.3245742365724</c:v>
                </c:pt>
                <c:pt idx="30">
                  <c:v>82.1530087933676</c:v>
                </c:pt>
                <c:pt idx="31">
                  <c:v>81.9779446514702</c:v>
                </c:pt>
                <c:pt idx="32">
                  <c:v>81.79933371348</c:v>
                </c:pt>
                <c:pt idx="33">
                  <c:v>81.617128898173</c:v>
                </c:pt>
                <c:pt idx="34">
                  <c:v>81.4312842886846</c:v>
                </c:pt>
                <c:pt idx="35">
                  <c:v>81.2417552899966</c:v>
                </c:pt>
                <c:pt idx="36">
                  <c:v>81.0484987960569</c:v>
                </c:pt>
                <c:pt idx="37">
                  <c:v>80.851473366844</c:v>
                </c:pt>
                <c:pt idx="38">
                  <c:v>80.6506394156736</c:v>
                </c:pt>
                <c:pt idx="39">
                  <c:v>80.4459594070251</c:v>
                </c:pt>
                <c:pt idx="40">
                  <c:v>80.2373980651384</c:v>
                </c:pt>
                <c:pt idx="41">
                  <c:v>80.0249225936035</c:v>
                </c:pt>
                <c:pt idx="42">
                  <c:v>79.8085029061278</c:v>
                </c:pt>
                <c:pt idx="43">
                  <c:v>79.5881118686263</c:v>
                </c:pt>
                <c:pt idx="44">
                  <c:v>79.3637255527304</c:v>
                </c:pt>
                <c:pt idx="45">
                  <c:v>79.135323500759</c:v>
                </c:pt>
                <c:pt idx="46">
                  <c:v>78.9028890021286</c:v>
                </c:pt>
                <c:pt idx="47">
                  <c:v>78.6664093811188</c:v>
                </c:pt>
                <c:pt idx="48">
                  <c:v>78.4258762958209</c:v>
                </c:pt>
                <c:pt idx="49">
                  <c:v>78.1812860480198</c:v>
                </c:pt>
                <c:pt idx="50">
                  <c:v>77.9326399036648</c:v>
                </c:pt>
                <c:pt idx="51">
                  <c:v>77.6799444234747</c:v>
                </c:pt>
                <c:pt idx="52">
                  <c:v>77.4232118031206</c:v>
                </c:pt>
                <c:pt idx="53">
                  <c:v>77.1624602222997</c:v>
                </c:pt>
                <c:pt idx="54">
                  <c:v>76.8977142018888</c:v>
                </c:pt>
                <c:pt idx="55">
                  <c:v>76.6290049682286</c:v>
                </c:pt>
                <c:pt idx="56">
                  <c:v>76.3563708234355</c:v>
                </c:pt>
                <c:pt idx="57">
                  <c:v>76.0798575204923</c:v>
                </c:pt>
                <c:pt idx="58">
                  <c:v>75.7995186417023</c:v>
                </c:pt>
                <c:pt idx="59">
                  <c:v>75.5154159789222</c:v>
                </c:pt>
                <c:pt idx="60">
                  <c:v>75.2276199138214</c:v>
                </c:pt>
                <c:pt idx="61">
                  <c:v>74.9362097962332</c:v>
                </c:pt>
                <c:pt idx="62">
                  <c:v>74.6412743184895</c:v>
                </c:pt>
                <c:pt idx="63">
                  <c:v>74.3429118834482</c:v>
                </c:pt>
                <c:pt idx="64">
                  <c:v>74.041230963749</c:v>
                </c:pt>
                <c:pt idx="65">
                  <c:v>73.7363504496579</c:v>
                </c:pt>
                <c:pt idx="66">
                  <c:v>73.4283999826986</c:v>
                </c:pt>
                <c:pt idx="67">
                  <c:v>73.1175202721103</c:v>
                </c:pt>
                <c:pt idx="68">
                  <c:v>72.8038633910305</c:v>
                </c:pt>
                <c:pt idx="69">
                  <c:v>72.4875930491731</c:v>
                </c:pt>
                <c:pt idx="70">
                  <c:v>72.1688848386669</c:v>
                </c:pt>
                <c:pt idx="71">
                  <c:v>71.8479264496324</c:v>
                </c:pt>
                <c:pt idx="72">
                  <c:v>71.5249178520182</c:v>
                </c:pt>
                <c:pt idx="73">
                  <c:v>71.2000714401876</c:v>
                </c:pt>
                <c:pt idx="74">
                  <c:v>70.8736121367523</c:v>
                </c:pt>
                <c:pt idx="75">
                  <c:v>70.5457774521892</c:v>
                </c:pt>
                <c:pt idx="76">
                  <c:v>70.2168174968525</c:v>
                </c:pt>
                <c:pt idx="77">
                  <c:v>69.8869949421194</c:v>
                </c:pt>
                <c:pt idx="78">
                  <c:v>69.5565849275622</c:v>
                </c:pt>
                <c:pt idx="79">
                  <c:v>69.225874911258</c:v>
                </c:pt>
                <c:pt idx="80">
                  <c:v>68.8951644605883</c:v>
                </c:pt>
                <c:pt idx="81">
                  <c:v>68.5647649811892</c:v>
                </c:pt>
                <c:pt idx="82">
                  <c:v>68.2349993820493</c:v>
                </c:pt>
                <c:pt idx="83">
                  <c:v>67.9062016751404</c:v>
                </c:pt>
                <c:pt idx="84">
                  <c:v>67.5787165083939</c:v>
                </c:pt>
                <c:pt idx="85">
                  <c:v>67.2528986312939</c:v>
                </c:pt>
                <c:pt idx="86">
                  <c:v>66.9291122928597</c:v>
                </c:pt>
                <c:pt idx="87">
                  <c:v>66.6077305723115</c:v>
                </c:pt>
                <c:pt idx="88">
                  <c:v>66.2891346432588</c:v>
                </c:pt>
                <c:pt idx="89">
                  <c:v>65.9737129728096</c:v>
                </c:pt>
                <c:pt idx="90">
                  <c:v>65.6618604575744</c:v>
                </c:pt>
                <c:pt idx="91">
                  <c:v>65.3539774991009</c:v>
                </c:pt>
                <c:pt idx="92">
                  <c:v>65.0504690218399</c:v>
                </c:pt>
                <c:pt idx="93">
                  <c:v>64.7517434372923</c:v>
                </c:pt>
                <c:pt idx="94">
                  <c:v>64.4582115585072</c:v>
                </c:pt>
                <c:pt idx="95">
                  <c:v>64.1702854695935</c:v>
                </c:pt>
                <c:pt idx="96">
                  <c:v>63.8883773553646</c:v>
                </c:pt>
                <c:pt idx="97">
                  <c:v>63.6128982966404</c:v>
                </c:pt>
                <c:pt idx="98">
                  <c:v>63.3442570370948</c:v>
                </c:pt>
                <c:pt idx="99">
                  <c:v>63.0828587278342</c:v>
                </c:pt>
                <c:pt idx="100">
                  <c:v>62.8291036561447</c:v>
                </c:pt>
                <c:pt idx="101">
                  <c:v>62.5833859650141</c:v>
                </c:pt>
                <c:pt idx="102">
                  <c:v>62.3460923701752</c:v>
                </c:pt>
                <c:pt idx="103">
                  <c:v>62.1176008814476</c:v>
                </c:pt>
                <c:pt idx="104">
                  <c:v>61.8982795351712</c:v>
                </c:pt>
                <c:pt idx="105">
                  <c:v>61.6884851444411</c:v>
                </c:pt>
                <c:pt idx="106">
                  <c:v>61.4885620737409</c:v>
                </c:pt>
                <c:pt idx="107">
                  <c:v>61.2988410443926</c:v>
                </c:pt>
                <c:pt idx="108">
                  <c:v>61.119637977012</c:v>
                </c:pt>
                <c:pt idx="109">
                  <c:v>60.9512528769031</c:v>
                </c:pt>
                <c:pt idx="110">
                  <c:v>60.7939687680127</c:v>
                </c:pt>
                <c:pt idx="111">
                  <c:v>60.6480506807417</c:v>
                </c:pt>
                <c:pt idx="112">
                  <c:v>60.5137446985514</c:v>
                </c:pt>
                <c:pt idx="113">
                  <c:v>60.3912770679238</c:v>
                </c:pt>
                <c:pt idx="114">
                  <c:v>60.2808533758577</c:v>
                </c:pt>
                <c:pt idx="115">
                  <c:v>60.182657798684</c:v>
                </c:pt>
                <c:pt idx="116">
                  <c:v>60.0968524255801</c:v>
                </c:pt>
                <c:pt idx="117">
                  <c:v>60.0235766597798</c:v>
                </c:pt>
                <c:pt idx="118">
                  <c:v>59.962946700067</c:v>
                </c:pt>
                <c:pt idx="119">
                  <c:v>59.9150551047729</c:v>
                </c:pt>
                <c:pt idx="120">
                  <c:v>59.8799704400845</c:v>
                </c:pt>
                <c:pt idx="121">
                  <c:v>59.8577370141362</c:v>
                </c:pt>
                <c:pt idx="122">
                  <c:v>59.8483746979509</c:v>
                </c:pt>
                <c:pt idx="123">
                  <c:v>59.8518788339573</c:v>
                </c:pt>
                <c:pt idx="124">
                  <c:v>59.8682202324418</c:v>
                </c:pt>
                <c:pt idx="125">
                  <c:v>59.8973452559352</c:v>
                </c:pt>
                <c:pt idx="126">
                  <c:v>59.9391759911829</c:v>
                </c:pt>
                <c:pt idx="127">
                  <c:v>59.993610507975</c:v>
                </c:pt>
                <c:pt idx="128">
                  <c:v>60.0605232037685</c:v>
                </c:pt>
                <c:pt idx="129">
                  <c:v>60.1397652326479</c:v>
                </c:pt>
                <c:pt idx="130">
                  <c:v>60.231165016802</c:v>
                </c:pt>
                <c:pt idx="131">
                  <c:v>60.3345288383192</c:v>
                </c:pt>
                <c:pt idx="132">
                  <c:v>60.4496415087022</c:v>
                </c:pt>
                <c:pt idx="133">
                  <c:v>60.5762671131239</c:v>
                </c:pt>
                <c:pt idx="134">
                  <c:v>60.7141498260415</c:v>
                </c:pt>
                <c:pt idx="135">
                  <c:v>60.8630147943857</c:v>
                </c:pt>
                <c:pt idx="136">
                  <c:v>61.0225690841606</c:v>
                </c:pt>
                <c:pt idx="137">
                  <c:v>61.1925026858878</c:v>
                </c:pt>
                <c:pt idx="138">
                  <c:v>61.3724895739631</c:v>
                </c:pt>
                <c:pt idx="139">
                  <c:v>61.5621888146377</c:v>
                </c:pt>
                <c:pt idx="140">
                  <c:v>61.7612457169951</c:v>
                </c:pt>
                <c:pt idx="141">
                  <c:v>61.9692930210059</c:v>
                </c:pt>
                <c:pt idx="142">
                  <c:v>62.1859521164572</c:v>
                </c:pt>
                <c:pt idx="143">
                  <c:v>62.4108342863498</c:v>
                </c:pt>
                <c:pt idx="144">
                  <c:v>62.6435419681621</c:v>
                </c:pt>
                <c:pt idx="145">
                  <c:v>62.8836700262646</c:v>
                </c:pt>
                <c:pt idx="146">
                  <c:v>63.130807028696</c:v>
                </c:pt>
                <c:pt idx="147">
                  <c:v>63.3845365215085</c:v>
                </c:pt>
                <c:pt idx="148">
                  <c:v>63.6444382939405</c:v>
                </c:pt>
                <c:pt idx="149">
                  <c:v>63.9100896277936</c:v>
                </c:pt>
                <c:pt idx="150">
                  <c:v>64.181066524573</c:v>
                </c:pt>
                <c:pt idx="151">
                  <c:v>64.4569449041923</c:v>
                </c:pt>
                <c:pt idx="152">
                  <c:v>64.7373017693428</c:v>
                </c:pt>
                <c:pt idx="153">
                  <c:v>65.0217163299902</c:v>
                </c:pt>
                <c:pt idx="154">
                  <c:v>65.3097710828675</c:v>
                </c:pt>
                <c:pt idx="155">
                  <c:v>65.6010528412806</c:v>
                </c:pt>
                <c:pt idx="156">
                  <c:v>65.8951537110452</c:v>
                </c:pt>
                <c:pt idx="157">
                  <c:v>66.1916720088871</c:v>
                </c:pt>
                <c:pt idx="158">
                  <c:v>66.490213120186</c:v>
                </c:pt>
                <c:pt idx="159">
                  <c:v>66.7903902935108</c:v>
                </c:pt>
                <c:pt idx="160">
                  <c:v>67.091825369951</c:v>
                </c:pt>
                <c:pt idx="161">
                  <c:v>67.3941494458332</c:v>
                </c:pt>
                <c:pt idx="162">
                  <c:v>67.6970034679578</c:v>
                </c:pt>
                <c:pt idx="163">
                  <c:v>68.0000387610468</c:v>
                </c:pt>
                <c:pt idx="164">
                  <c:v>68.302917487614</c:v>
                </c:pt>
                <c:pt idx="165">
                  <c:v>68.6053130409606</c:v>
                </c:pt>
                <c:pt idx="166">
                  <c:v>68.9069103724754</c:v>
                </c:pt>
                <c:pt idx="167">
                  <c:v>69.2074062548299</c:v>
                </c:pt>
                <c:pt idx="168">
                  <c:v>69.5065094830564</c:v>
                </c:pt>
                <c:pt idx="169">
                  <c:v>69.8039410158316</c:v>
                </c:pt>
                <c:pt idx="170">
                  <c:v>70.0994340595999</c:v>
                </c:pt>
                <c:pt idx="171">
                  <c:v>70.3927340984031</c:v>
                </c:pt>
                <c:pt idx="172">
                  <c:v>70.6835988725163</c:v>
                </c:pt>
                <c:pt idx="173">
                  <c:v>70.9717983091315</c:v>
                </c:pt>
                <c:pt idx="174">
                  <c:v>71.2571144084619</c:v>
                </c:pt>
                <c:pt idx="175">
                  <c:v>71.5393410887205</c:v>
                </c:pt>
                <c:pt idx="176">
                  <c:v>71.818283993458</c:v>
                </c:pt>
                <c:pt idx="177">
                  <c:v>72.0937602647543</c:v>
                </c:pt>
                <c:pt idx="178">
                  <c:v>72.365598285734</c:v>
                </c:pt>
                <c:pt idx="179">
                  <c:v>72.6336373958052</c:v>
                </c:pt>
                <c:pt idx="180">
                  <c:v>72.8977275819452</c:v>
                </c:pt>
                <c:pt idx="181">
                  <c:v>73.1577291492513</c:v>
                </c:pt>
                <c:pt idx="182">
                  <c:v>73.4135123738332</c:v>
                </c:pt>
                <c:pt idx="183">
                  <c:v>73.6649571409994</c:v>
                </c:pt>
                <c:pt idx="184">
                  <c:v>73.9119525715178</c:v>
                </c:pt>
                <c:pt idx="185">
                  <c:v>74.1543966385701</c:v>
                </c:pt>
                <c:pt idx="186">
                  <c:v>74.3921957778512</c:v>
                </c:pt>
                <c:pt idx="187">
                  <c:v>74.6252644930748</c:v>
                </c:pt>
                <c:pt idx="188">
                  <c:v>74.8535249589833</c:v>
                </c:pt>
                <c:pt idx="189">
                  <c:v>75.0769066237617</c:v>
                </c:pt>
                <c:pt idx="190">
                  <c:v>75.2953458125907</c:v>
                </c:pt>
                <c:pt idx="191">
                  <c:v>75.5087853338981</c:v>
                </c:pt>
                <c:pt idx="192">
                  <c:v>75.7171740896892</c:v>
                </c:pt>
                <c:pt idx="193">
                  <c:v>75.9204666911843</c:v>
                </c:pt>
                <c:pt idx="194">
                  <c:v>76.11862308083</c:v>
                </c:pt>
                <c:pt idx="195">
                  <c:v>76.3116081615991</c:v>
                </c:pt>
                <c:pt idx="196">
                  <c:v>76.4993914343612</c:v>
                </c:pt>
                <c:pt idx="197">
                  <c:v>76.6819466439674</c:v>
                </c:pt>
                <c:pt idx="198">
                  <c:v>76.8592514345688</c:v>
                </c:pt>
                <c:pt idx="199">
                  <c:v>77.0312870145841</c:v>
                </c:pt>
                <c:pt idx="200">
                  <c:v>77.1980378316102</c:v>
                </c:pt>
                <c:pt idx="201">
                  <c:v>77.3594912574892</c:v>
                </c:pt>
                <c:pt idx="202">
                  <c:v>77.5156372836464</c:v>
                </c:pt>
                <c:pt idx="203">
                  <c:v>77.6664682267359</c:v>
                </c:pt>
                <c:pt idx="204">
                  <c:v>77.811978444564</c:v>
                </c:pt>
                <c:pt idx="205">
                  <c:v>77.9521640621885</c:v>
                </c:pt>
                <c:pt idx="206">
                  <c:v>78.0870227080403</c:v>
                </c:pt>
                <c:pt idx="207">
                  <c:v>78.2165532598599</c:v>
                </c:pt>
                <c:pt idx="208">
                  <c:v>78.3407556002013</c:v>
                </c:pt>
                <c:pt idx="209">
                  <c:v>78.459630381211</c:v>
                </c:pt>
                <c:pt idx="210">
                  <c:v>78.5731787983646</c:v>
                </c:pt>
                <c:pt idx="211">
                  <c:v>78.6814023728101</c:v>
                </c:pt>
                <c:pt idx="212">
                  <c:v>78.784302741945</c:v>
                </c:pt>
                <c:pt idx="213">
                  <c:v>78.8818814578394</c:v>
                </c:pt>
                <c:pt idx="214">
                  <c:v>78.9741397930943</c:v>
                </c:pt>
                <c:pt idx="215">
                  <c:v>79.0610785537225</c:v>
                </c:pt>
                <c:pt idx="216">
                  <c:v>79.1426978986216</c:v>
                </c:pt>
                <c:pt idx="217">
                  <c:v>79.2189971652125</c:v>
                </c:pt>
                <c:pt idx="218">
                  <c:v>79.2899747008041</c:v>
                </c:pt>
                <c:pt idx="219">
                  <c:v>79.3556276992553</c:v>
                </c:pt>
                <c:pt idx="220">
                  <c:v>79.415952042498</c:v>
                </c:pt>
                <c:pt idx="221">
                  <c:v>79.4709421464938</c:v>
                </c:pt>
                <c:pt idx="222">
                  <c:v>79.5205908112031</c:v>
                </c:pt>
                <c:pt idx="223">
                  <c:v>79.5648890741484</c:v>
                </c:pt>
                <c:pt idx="224">
                  <c:v>79.603826067168</c:v>
                </c:pt>
                <c:pt idx="225">
                  <c:v>79.6373888759647</c:v>
                </c:pt>
                <c:pt idx="226">
                  <c:v>79.6655624020651</c:v>
                </c:pt>
                <c:pt idx="227">
                  <c:v>79.6883292268211</c:v>
                </c:pt>
                <c:pt idx="228">
                  <c:v>79.7056694770997</c:v>
                </c:pt>
                <c:pt idx="229">
                  <c:v>79.7175606923236</c:v>
                </c:pt>
                <c:pt idx="230">
                  <c:v>79.7239776925451</c:v>
                </c:pt>
                <c:pt idx="231">
                  <c:v>79.7248924472532</c:v>
                </c:pt>
                <c:pt idx="232">
                  <c:v>79.7202739446397</c:v>
                </c:pt>
                <c:pt idx="233">
                  <c:v>79.7100880610706</c:v>
                </c:pt>
                <c:pt idx="234">
                  <c:v>79.6942974305384</c:v>
                </c:pt>
                <c:pt idx="235">
                  <c:v>79.6728613138951</c:v>
                </c:pt>
                <c:pt idx="236">
                  <c:v>79.6457354677034</c:v>
                </c:pt>
                <c:pt idx="237">
                  <c:v>79.6128720125683</c:v>
                </c:pt>
                <c:pt idx="238">
                  <c:v>79.5742193008548</c:v>
                </c:pt>
                <c:pt idx="239">
                  <c:v>79.5297217837368</c:v>
                </c:pt>
                <c:pt idx="240">
                  <c:v>79.4793198775585</c:v>
                </c:pt>
                <c:pt idx="241">
                  <c:v>79.422949829545</c:v>
                </c:pt>
                <c:pt idx="242">
                  <c:v>79.3605435829425</c:v>
                </c:pt>
                <c:pt idx="243">
                  <c:v>79.2920286417282</c:v>
                </c:pt>
                <c:pt idx="244">
                  <c:v>79.2173279350835</c:v>
                </c:pt>
                <c:pt idx="245">
                  <c:v>79.1363596818946</c:v>
                </c:pt>
                <c:pt idx="246">
                  <c:v>79.0490372556037</c:v>
                </c:pt>
                <c:pt idx="247">
                  <c:v>78.9552690498173</c:v>
                </c:pt>
                <c:pt idx="248">
                  <c:v>78.8549583451481</c:v>
                </c:pt>
                <c:pt idx="249">
                  <c:v>78.7480031778541</c:v>
                </c:pt>
                <c:pt idx="250">
                  <c:v>78.6342962109271</c:v>
                </c:pt>
                <c:pt idx="251">
                  <c:v>78.5137246083739</c:v>
                </c:pt>
                <c:pt idx="252">
                  <c:v>78.3861699135351</c:v>
                </c:pt>
                <c:pt idx="253">
                  <c:v>78.251507932386</c:v>
                </c:pt>
                <c:pt idx="254">
                  <c:v>78.1096086228722</c:v>
                </c:pt>
                <c:pt idx="255">
                  <c:v>77.9603359914488</c:v>
                </c:pt>
                <c:pt idx="256">
                  <c:v>77.803547998093</c:v>
                </c:pt>
                <c:pt idx="257">
                  <c:v>77.6390964711949</c:v>
                </c:pt>
                <c:pt idx="258">
                  <c:v>77.4668270338298</c:v>
                </c:pt>
                <c:pt idx="259">
                  <c:v>77.2865790430488</c:v>
                </c:pt>
                <c:pt idx="260">
                  <c:v>77.0981855439312</c:v>
                </c:pt>
                <c:pt idx="261">
                  <c:v>76.901473240259</c:v>
                </c:pt>
                <c:pt idx="262">
                  <c:v>76.6962624837864</c:v>
                </c:pt>
                <c:pt idx="263">
                  <c:v>76.4823672841716</c:v>
                </c:pt>
                <c:pt idx="264">
                  <c:v>76.2595953417417</c:v>
                </c:pt>
                <c:pt idx="265">
                  <c:v>76.0277481053335</c:v>
                </c:pt>
                <c:pt idx="266">
                  <c:v>75.7866208575305</c:v>
                </c:pt>
                <c:pt idx="267">
                  <c:v>75.5360028296594</c:v>
                </c:pt>
                <c:pt idx="268">
                  <c:v>75.2756773489453</c:v>
                </c:pt>
                <c:pt idx="269">
                  <c:v>75.0054220202325</c:v>
                </c:pt>
                <c:pt idx="270">
                  <c:v>74.7250089446585</c:v>
                </c:pt>
                <c:pt idx="271">
                  <c:v>74.4342049776197</c:v>
                </c:pt>
                <c:pt idx="272">
                  <c:v>74.1327720282891</c:v>
                </c:pt>
                <c:pt idx="273">
                  <c:v>73.8204674028317</c:v>
                </c:pt>
                <c:pt idx="274">
                  <c:v>73.497044193302</c:v>
                </c:pt>
                <c:pt idx="275">
                  <c:v>73.1622517140181</c:v>
                </c:pt>
                <c:pt idx="276">
                  <c:v>72.815835986964</c:v>
                </c:pt>
                <c:pt idx="277">
                  <c:v>72.4575402774908</c:v>
                </c:pt>
                <c:pt idx="278">
                  <c:v>72.0871056812459</c:v>
                </c:pt>
                <c:pt idx="279">
                  <c:v>71.7042717629025</c:v>
                </c:pt>
                <c:pt idx="280">
                  <c:v>71.3087772468058</c:v>
                </c:pt>
                <c:pt idx="281">
                  <c:v>70.9003607592254</c:v>
                </c:pt>
                <c:pt idx="282">
                  <c:v>70.4787616213482</c:v>
                </c:pt>
                <c:pt idx="283">
                  <c:v>70.0437206916304</c:v>
                </c:pt>
                <c:pt idx="284">
                  <c:v>69.594981255524</c:v>
                </c:pt>
                <c:pt idx="285">
                  <c:v>69.132289959979</c:v>
                </c:pt>
                <c:pt idx="286">
                  <c:v>68.6553977895009</c:v>
                </c:pt>
                <c:pt idx="287">
                  <c:v>68.164061079868</c:v>
                </c:pt>
                <c:pt idx="288">
                  <c:v>67.6580425649818</c:v>
                </c:pt>
                <c:pt idx="289">
                  <c:v>67.1371124516474</c:v>
                </c:pt>
                <c:pt idx="290">
                  <c:v>66.6010495164674</c:v>
                </c:pt>
                <c:pt idx="291">
                  <c:v>66.0496422183941</c:v>
                </c:pt>
                <c:pt idx="292">
                  <c:v>65.4826898199373</c:v>
                </c:pt>
                <c:pt idx="293">
                  <c:v>64.9000035094848</c:v>
                </c:pt>
                <c:pt idx="294">
                  <c:v>64.3014075167251</c:v>
                </c:pt>
                <c:pt idx="295">
                  <c:v>63.6867402127973</c:v>
                </c:pt>
                <c:pt idx="296">
                  <c:v>63.0558551864513</c:v>
                </c:pt>
                <c:pt idx="297">
                  <c:v>62.408622287319</c:v>
                </c:pt>
                <c:pt idx="298">
                  <c:v>61.7449286272668</c:v>
                </c:pt>
                <c:pt idx="299">
                  <c:v>61.0646795308099</c:v>
                </c:pt>
                <c:pt idx="300">
                  <c:v>60.367799425671</c:v>
                </c:pt>
                <c:pt idx="301">
                  <c:v>59.6542326648099</c:v>
                </c:pt>
                <c:pt idx="302">
                  <c:v>58.9239442715946</c:v>
                </c:pt>
                <c:pt idx="303">
                  <c:v>58.1769206002492</c:v>
                </c:pt>
                <c:pt idx="304">
                  <c:v>57.4131699043157</c:v>
                </c:pt>
                <c:pt idx="305">
                  <c:v>56.6327228065545</c:v>
                </c:pt>
                <c:pt idx="306">
                  <c:v>55.8356326645089</c:v>
                </c:pt>
                <c:pt idx="307">
                  <c:v>55.021975826862</c:v>
                </c:pt>
                <c:pt idx="308">
                  <c:v>54.1918517766797</c:v>
                </c:pt>
                <c:pt idx="309">
                  <c:v>53.3453831587023</c:v>
                </c:pt>
                <c:pt idx="310">
                  <c:v>52.48271568893</c:v>
                </c:pt>
                <c:pt idx="311">
                  <c:v>51.6040179459058</c:v>
                </c:pt>
                <c:pt idx="312">
                  <c:v>50.7094810442573</c:v>
                </c:pt>
                <c:pt idx="313">
                  <c:v>49.7993181922458</c:v>
                </c:pt>
                <c:pt idx="314">
                  <c:v>48.8737641362174</c:v>
                </c:pt>
                <c:pt idx="315">
                  <c:v>47.9330744960117</c:v>
                </c:pt>
                <c:pt idx="316">
                  <c:v>46.9775249964531</c:v>
                </c:pt>
                <c:pt idx="317">
                  <c:v>46.0074106011047</c:v>
                </c:pt>
                <c:pt idx="318">
                  <c:v>45.0230445554345</c:v>
                </c:pt>
                <c:pt idx="319">
                  <c:v>44.0247573473934</c:v>
                </c:pt>
                <c:pt idx="320">
                  <c:v>43.0128955942188</c:v>
                </c:pt>
                <c:pt idx="321">
                  <c:v>41.9878208649414</c:v>
                </c:pt>
                <c:pt idx="322">
                  <c:v>40.9499084486269</c:v>
                </c:pt>
                <c:pt idx="323">
                  <c:v>39.8995460788364</c:v>
                </c:pt>
                <c:pt idx="324">
                  <c:v>38.8371326251018</c:v>
                </c:pt>
                <c:pt idx="325">
                  <c:v>37.7630767623981</c:v>
                </c:pt>
                <c:pt idx="326">
                  <c:v>36.6777956296674</c:v>
                </c:pt>
                <c:pt idx="327">
                  <c:v>35.5817134883614</c:v>
                </c:pt>
                <c:pt idx="328">
                  <c:v>34.4752603918128</c:v>
                </c:pt>
                <c:pt idx="329">
                  <c:v>33.3588708759111</c:v>
                </c:pt>
                <c:pt idx="330">
                  <c:v>32.2329826811615</c:v>
                </c:pt>
                <c:pt idx="331">
                  <c:v>31.0980355156551</c:v>
                </c:pt>
                <c:pt idx="332">
                  <c:v>29.9544698678974</c:v>
                </c:pt>
                <c:pt idx="333">
                  <c:v>28.8027258776859</c:v>
                </c:pt>
                <c:pt idx="334">
                  <c:v>27.6432422724902</c:v>
                </c:pt>
                <c:pt idx="335">
                  <c:v>26.4764553759016</c:v>
                </c:pt>
                <c:pt idx="336">
                  <c:v>25.3027981938486</c:v>
                </c:pt>
                <c:pt idx="337">
                  <c:v>24.1226995832903</c:v>
                </c:pt>
                <c:pt idx="338">
                  <c:v>22.9365835071725</c:v>
                </c:pt>
                <c:pt idx="339">
                  <c:v>21.7448683783931</c:v>
                </c:pt>
                <c:pt idx="340">
                  <c:v>20.5479664945552</c:v>
                </c:pt>
                <c:pt idx="341">
                  <c:v>19.3462835642701</c:v>
                </c:pt>
                <c:pt idx="342">
                  <c:v>18.1402183248133</c:v>
                </c:pt>
                <c:pt idx="343">
                  <c:v>16.9301622499691</c:v>
                </c:pt>
                <c:pt idx="344">
                  <c:v>15.7164993459862</c:v>
                </c:pt>
                <c:pt idx="345">
                  <c:v>14.4996060326983</c:v>
                </c:pt>
                <c:pt idx="346">
                  <c:v>13.2798511060443</c:v>
                </c:pt>
                <c:pt idx="347">
                  <c:v>12.057595777463</c:v>
                </c:pt>
                <c:pt idx="348">
                  <c:v>10.8331937849385</c:v>
                </c:pt>
                <c:pt idx="349">
                  <c:v>9.60699156986406</c:v>
                </c:pt>
                <c:pt idx="350">
                  <c:v>8.3793285133387</c:v>
                </c:pt>
                <c:pt idx="351">
                  <c:v>7.15053722505297</c:v>
                </c:pt>
                <c:pt idx="352">
                  <c:v>5.920943877528</c:v>
                </c:pt>
                <c:pt idx="353">
                  <c:v>4.69086857820034</c:v>
                </c:pt>
                <c:pt idx="354">
                  <c:v>3.46062577160124</c:v>
                </c:pt>
                <c:pt idx="355">
                  <c:v>2.23052466379527</c:v>
                </c:pt>
                <c:pt idx="356">
                  <c:v>1.00086966116886</c:v>
                </c:pt>
                <c:pt idx="357">
                  <c:v>-0.228039184254469</c:v>
                </c:pt>
                <c:pt idx="358">
                  <c:v>-1.45590573069257</c:v>
                </c:pt>
                <c:pt idx="359">
                  <c:v>-2.68243731115907</c:v>
                </c:pt>
                <c:pt idx="360">
                  <c:v>-3.90734431389526</c:v>
                </c:pt>
                <c:pt idx="361">
                  <c:v>-5.13033978550257</c:v>
                </c:pt>
                <c:pt idx="362">
                  <c:v>-6.35113906317026</c:v>
                </c:pt>
                <c:pt idx="363">
                  <c:v>-7.56945944187094</c:v>
                </c:pt>
                <c:pt idx="364">
                  <c:v>-8.78501988184846</c:v>
                </c:pt>
                <c:pt idx="365">
                  <c:v>-9.99754076109243</c:v>
                </c:pt>
                <c:pt idx="366">
                  <c:v>-11.2067436768345</c:v>
                </c:pt>
                <c:pt idx="367">
                  <c:v>-12.4123512993958</c:v>
                </c:pt>
                <c:pt idx="368">
                  <c:v>-13.6140872809801</c:v>
                </c:pt>
                <c:pt idx="369">
                  <c:v>-14.8116762212553</c:v>
                </c:pt>
                <c:pt idx="370">
                  <c:v>-16.004843690795</c:v>
                </c:pt>
                <c:pt idx="371">
                  <c:v>-17.1933163126853</c:v>
                </c:pt>
                <c:pt idx="372">
                  <c:v>-18.3768219018331</c:v>
                </c:pt>
                <c:pt idx="373">
                  <c:v>-19.5550896607705</c:v>
                </c:pt>
                <c:pt idx="374">
                  <c:v>-20.7278504300308</c:v>
                </c:pt>
                <c:pt idx="375">
                  <c:v>-21.8948369904848</c:v>
                </c:pt>
                <c:pt idx="376">
                  <c:v>-23.055784414386</c:v>
                </c:pt>
                <c:pt idx="377">
                  <c:v>-24.2104304612998</c:v>
                </c:pt>
                <c:pt idx="378">
                  <c:v>-25.3585160145522</c:v>
                </c:pt>
                <c:pt idx="379">
                  <c:v>-26.4997855533953</c:v>
                </c:pt>
                <c:pt idx="380">
                  <c:v>-27.6339876556869</c:v>
                </c:pt>
                <c:pt idx="381">
                  <c:v>-28.7608755255973</c:v>
                </c:pt>
                <c:pt idx="382">
                  <c:v>-29.8802075406205</c:v>
                </c:pt>
                <c:pt idx="383">
                  <c:v>-30.991747812026</c:v>
                </c:pt>
                <c:pt idx="384">
                  <c:v>-32.0952667528465</c:v>
                </c:pt>
                <c:pt idx="385">
                  <c:v>-33.190541647494</c:v>
                </c:pt>
                <c:pt idx="386">
                  <c:v>-34.2773572172289</c:v>
                </c:pt>
                <c:pt idx="387">
                  <c:v>-35.3555061758605</c:v>
                </c:pt>
                <c:pt idx="388">
                  <c:v>-36.4247897703235</c:v>
                </c:pt>
                <c:pt idx="389">
                  <c:v>-37.4850183010683</c:v>
                </c:pt>
                <c:pt idx="390">
                  <c:v>-38.5360116175788</c:v>
                </c:pt>
                <c:pt idx="391">
                  <c:v>-39.577599584757</c:v>
                </c:pt>
                <c:pt idx="392">
                  <c:v>-40.6096225163354</c:v>
                </c:pt>
                <c:pt idx="393">
                  <c:v>-41.6319315719981</c:v>
                </c:pt>
                <c:pt idx="394">
                  <c:v>-42.6443891153777</c:v>
                </c:pt>
                <c:pt idx="395">
                  <c:v>-43.6468690306129</c:v>
                </c:pt>
                <c:pt idx="396">
                  <c:v>-44.6392569956917</c:v>
                </c:pt>
                <c:pt idx="397">
                  <c:v>-45.6214507112989</c:v>
                </c:pt>
                <c:pt idx="398">
                  <c:v>-46.5933600844169</c:v>
                </c:pt>
                <c:pt idx="399">
                  <c:v>-47.5549073664044</c:v>
                </c:pt>
                <c:pt idx="400">
                  <c:v>-48.5060272457385</c:v>
                </c:pt>
                <c:pt idx="401">
                  <c:v>-49.4466668960551</c:v>
                </c:pt>
                <c:pt idx="402">
                  <c:v>-50.3767859804951</c:v>
                </c:pt>
                <c:pt idx="403">
                  <c:v>-51.2963566137576</c:v>
                </c:pt>
                <c:pt idx="404">
                  <c:v>-52.2053632835516</c:v>
                </c:pt>
                <c:pt idx="405">
                  <c:v>-53.1038027334341</c:v>
                </c:pt>
                <c:pt idx="406">
                  <c:v>-53.9916838092569</c:v>
                </c:pt>
                <c:pt idx="407">
                  <c:v>-54.8690272716287</c:v>
                </c:pt>
                <c:pt idx="408">
                  <c:v>-55.7358655769684</c:v>
                </c:pt>
                <c:pt idx="409">
                  <c:v>-56.5922426298171</c:v>
                </c:pt>
                <c:pt idx="410">
                  <c:v>-57.4382135091624</c:v>
                </c:pt>
                <c:pt idx="411">
                  <c:v>-58.2738441715696</c:v>
                </c:pt>
                <c:pt idx="412">
                  <c:v>-59.0992111338996</c:v>
                </c:pt>
                <c:pt idx="413">
                  <c:v>-59.9144011383929</c:v>
                </c:pt>
                <c:pt idx="414">
                  <c:v>-60.7195108028187</c:v>
                </c:pt>
                <c:pt idx="415">
                  <c:v>-61.5146462583387</c:v>
                </c:pt>
                <c:pt idx="416">
                  <c:v>-62.2999227776112</c:v>
                </c:pt>
                <c:pt idx="417">
                  <c:v>-63.0754643955651</c:v>
                </c:pt>
                <c:pt idx="418">
                  <c:v>-63.8414035251339</c:v>
                </c:pt>
                <c:pt idx="419">
                  <c:v>-64.5978805701018</c:v>
                </c:pt>
                <c:pt idx="420">
                  <c:v>-65.3450435370656</c:v>
                </c:pt>
                <c:pt idx="421">
                  <c:v>-66.0830476483611</c:v>
                </c:pt>
                <c:pt idx="422">
                  <c:v>-66.8120549576369</c:v>
                </c:pt>
                <c:pt idx="423">
                  <c:v>-67.5322339696124</c:v>
                </c:pt>
                <c:pt idx="424">
                  <c:v>-68.2437592653837</c:v>
                </c:pt>
                <c:pt idx="425">
                  <c:v>-68.9468111344877</c:v>
                </c:pt>
                <c:pt idx="426">
                  <c:v>-69.6415752147875</c:v>
                </c:pt>
                <c:pt idx="427">
                  <c:v>-70.3282421410811</c:v>
                </c:pt>
                <c:pt idx="428">
                  <c:v>-71.0070072032013</c:v>
                </c:pt>
                <c:pt idx="429">
                  <c:v>-71.6780700142356</c:v>
                </c:pt>
                <c:pt idx="430">
                  <c:v>-72.3416341893582</c:v>
                </c:pt>
                <c:pt idx="431">
                  <c:v>-72.9979070356584</c:v>
                </c:pt>
                <c:pt idx="432">
                  <c:v>-73.647099253216</c:v>
                </c:pt>
                <c:pt idx="433">
                  <c:v>-74.2894246475871</c:v>
                </c:pt>
                <c:pt idx="434">
                  <c:v>-74.9250998537458</c:v>
                </c:pt>
                <c:pt idx="435">
                  <c:v>-75.5543440714555</c:v>
                </c:pt>
                <c:pt idx="436">
                  <c:v>-76.1773788119391</c:v>
                </c:pt>
                <c:pt idx="437">
                  <c:v>-76.7944276556633</c:v>
                </c:pt>
                <c:pt idx="438">
                  <c:v>-77.4057160209636</c:v>
                </c:pt>
                <c:pt idx="439">
                  <c:v>-78.0114709431879</c:v>
                </c:pt>
                <c:pt idx="440">
                  <c:v>-78.6119208639727</c:v>
                </c:pt>
                <c:pt idx="441">
                  <c:v>-79.2072954302222</c:v>
                </c:pt>
                <c:pt idx="442">
                  <c:v>-79.7978253023095</c:v>
                </c:pt>
                <c:pt idx="443">
                  <c:v>-80.3837419709885</c:v>
                </c:pt>
                <c:pt idx="444">
                  <c:v>-80.9652775824585</c:v>
                </c:pt>
                <c:pt idx="445">
                  <c:v>-81.5426647710112</c:v>
                </c:pt>
                <c:pt idx="446">
                  <c:v>-82.1161364986443</c:v>
                </c:pt>
                <c:pt idx="447">
                  <c:v>-82.6859259010182</c:v>
                </c:pt>
                <c:pt idx="448">
                  <c:v>-83.2522661391077</c:v>
                </c:pt>
                <c:pt idx="449">
                  <c:v>-83.8153902558842</c:v>
                </c:pt>
                <c:pt idx="450">
                  <c:v>-84.375531037352</c:v>
                </c:pt>
                <c:pt idx="451">
                  <c:v>-84.9329208772528</c:v>
                </c:pt>
                <c:pt idx="452">
                  <c:v>-85.4877916447407</c:v>
                </c:pt>
                <c:pt idx="453">
                  <c:v>-86.0403745543267</c:v>
                </c:pt>
                <c:pt idx="454">
                  <c:v>-86.590900037388</c:v>
                </c:pt>
                <c:pt idx="455">
                  <c:v>-87.1395976145283</c:v>
                </c:pt>
                <c:pt idx="456">
                  <c:v>-87.6866957680855</c:v>
                </c:pt>
                <c:pt idx="457">
                  <c:v>-88.232421814073</c:v>
                </c:pt>
                <c:pt idx="458">
                  <c:v>-88.7770017728503</c:v>
                </c:pt>
                <c:pt idx="459">
                  <c:v>-89.3206602378203</c:v>
                </c:pt>
                <c:pt idx="460">
                  <c:v>-89.8636202414583</c:v>
                </c:pt>
                <c:pt idx="461">
                  <c:v>-90.4061031179819</c:v>
                </c:pt>
                <c:pt idx="462">
                  <c:v>-90.9483283619861</c:v>
                </c:pt>
                <c:pt idx="463">
                  <c:v>-91.4905134823781</c:v>
                </c:pt>
                <c:pt idx="464">
                  <c:v>-92.0328738509558</c:v>
                </c:pt>
                <c:pt idx="465">
                  <c:v>-92.5756225450009</c:v>
                </c:pt>
                <c:pt idx="466">
                  <c:v>-93.1189701832699</c:v>
                </c:pt>
                <c:pt idx="467">
                  <c:v>-93.6631247547904</c:v>
                </c:pt>
                <c:pt idx="468">
                  <c:v>-94.2082914399023</c:v>
                </c:pt>
                <c:pt idx="469">
                  <c:v>-94.7546724230061</c:v>
                </c:pt>
                <c:pt idx="470">
                  <c:v>-95.3024666965225</c:v>
                </c:pt>
                <c:pt idx="471">
                  <c:v>-95.8518698556033</c:v>
                </c:pt>
                <c:pt idx="472">
                  <c:v>-96.4030738831786</c:v>
                </c:pt>
                <c:pt idx="473">
                  <c:v>-96.9562669249776</c:v>
                </c:pt>
                <c:pt idx="474">
                  <c:v>-97.5116330542127</c:v>
                </c:pt>
                <c:pt idx="475">
                  <c:v>-98.0693520256827</c:v>
                </c:pt>
                <c:pt idx="476">
                  <c:v>-98.6295990191181</c:v>
                </c:pt>
                <c:pt idx="477">
                  <c:v>-99.1925443716676</c:v>
                </c:pt>
                <c:pt idx="478">
                  <c:v>-99.7583532995078</c:v>
                </c:pt>
                <c:pt idx="479">
                  <c:v>-100.327185608655</c:v>
                </c:pt>
                <c:pt idx="480">
                  <c:v>-100.899195395146</c:v>
                </c:pt>
                <c:pt idx="481">
                  <c:v>-101.474530734878</c:v>
                </c:pt>
                <c:pt idx="482">
                  <c:v>-102.053333363498</c:v>
                </c:pt>
                <c:pt idx="483">
                  <c:v>-102.635738346868</c:v>
                </c:pt>
                <c:pt idx="484">
                  <c:v>-103.221873742753</c:v>
                </c:pt>
                <c:pt idx="485">
                  <c:v>-103.811860254544</c:v>
                </c:pt>
                <c:pt idx="486">
                  <c:v>-104.405810877929</c:v>
                </c:pt>
                <c:pt idx="487">
                  <c:v>-105.003830541633</c:v>
                </c:pt>
                <c:pt idx="488">
                  <c:v>-105.606015743473</c:v>
                </c:pt>
                <c:pt idx="489">
                  <c:v>-106.212454183149</c:v>
                </c:pt>
                <c:pt idx="490">
                  <c:v>-106.823224393364</c:v>
                </c:pt>
                <c:pt idx="491">
                  <c:v>-107.438395371029</c:v>
                </c:pt>
                <c:pt idx="492">
                  <c:v>-108.058026210505</c:v>
                </c:pt>
                <c:pt idx="493">
                  <c:v>-108.682165740958</c:v>
                </c:pt>
                <c:pt idx="494">
                  <c:v>-109.310852170129</c:v>
                </c:pt>
                <c:pt idx="495">
                  <c:v>-109.944112736928</c:v>
                </c:pt>
                <c:pt idx="496">
                  <c:v>-110.581963375458</c:v>
                </c:pt>
                <c:pt idx="497">
                  <c:v>-111.224408393179</c:v>
                </c:pt>
                <c:pt idx="498">
                  <c:v>-111.871440166078</c:v>
                </c:pt>
                <c:pt idx="499">
                  <c:v>-112.523038853806</c:v>
                </c:pt>
                <c:pt idx="500">
                  <c:v>-113.179172137824</c:v>
                </c:pt>
                <c:pt idx="501">
                  <c:v>-113.839794985688</c:v>
                </c:pt>
                <c:pt idx="502">
                  <c:v>-114.504849444614</c:v>
                </c:pt>
                <c:pt idx="503">
                  <c:v>-115.174264467478</c:v>
                </c:pt>
                <c:pt idx="504">
                  <c:v>-115.847955774393</c:v>
                </c:pt>
                <c:pt idx="505">
                  <c:v>-116.525825752906</c:v>
                </c:pt>
                <c:pt idx="506">
                  <c:v>-117.207763399792</c:v>
                </c:pt>
                <c:pt idx="507">
                  <c:v>-117.893644307252</c:v>
                </c:pt>
                <c:pt idx="508">
                  <c:v>-118.583330696138</c:v>
                </c:pt>
                <c:pt idx="509">
                  <c:v>-119.276671498608</c:v>
                </c:pt>
                <c:pt idx="510">
                  <c:v>-119.973502492331</c:v>
                </c:pt>
                <c:pt idx="511">
                  <c:v>-120.673646488034</c:v>
                </c:pt>
                <c:pt idx="512">
                  <c:v>-121.376913571857</c:v>
                </c:pt>
                <c:pt idx="513">
                  <c:v>-122.08310140355</c:v>
                </c:pt>
                <c:pt idx="514">
                  <c:v>-122.791995571124</c:v>
                </c:pt>
                <c:pt idx="515">
                  <c:v>-123.503370002116</c:v>
                </c:pt>
                <c:pt idx="516">
                  <c:v>-124.216987431121</c:v>
                </c:pt>
                <c:pt idx="517">
                  <c:v>-124.932599922735</c:v>
                </c:pt>
                <c:pt idx="518">
                  <c:v>-125.649949448532</c:v>
                </c:pt>
                <c:pt idx="519">
                  <c:v>-126.36876851616</c:v>
                </c:pt>
                <c:pt idx="520">
                  <c:v>-127.088780848116</c:v>
                </c:pt>
                <c:pt idx="521">
                  <c:v>-127.809702107231</c:v>
                </c:pt>
                <c:pt idx="522">
                  <c:v>-128.531240665395</c:v>
                </c:pt>
                <c:pt idx="523">
                  <c:v>-129.253098411568</c:v>
                </c:pt>
                <c:pt idx="524">
                  <c:v>-129.9749715947</c:v>
                </c:pt>
                <c:pt idx="525">
                  <c:v>-130.696551696751</c:v>
                </c:pt>
                <c:pt idx="526">
                  <c:v>-131.417526330667</c:v>
                </c:pt>
                <c:pt idx="527">
                  <c:v>-132.137580157879</c:v>
                </c:pt>
                <c:pt idx="528">
                  <c:v>-132.856395819646</c:v>
                </c:pt>
                <c:pt idx="529">
                  <c:v>-133.573654876388</c:v>
                </c:pt>
                <c:pt idx="530">
                  <c:v>-134.289038749078</c:v>
                </c:pt>
                <c:pt idx="531">
                  <c:v>-135.002229656713</c:v>
                </c:pt>
                <c:pt idx="532">
                  <c:v>-135.712911543938</c:v>
                </c:pt>
                <c:pt idx="533">
                  <c:v>-136.420770993014</c:v>
                </c:pt>
                <c:pt idx="534">
                  <c:v>-137.125498114481</c:v>
                </c:pt>
                <c:pt idx="535">
                  <c:v>-137.826787411161</c:v>
                </c:pt>
                <c:pt idx="536">
                  <c:v>-138.524338610398</c:v>
                </c:pt>
                <c:pt idx="537">
                  <c:v>-139.217857459841</c:v>
                </c:pt>
                <c:pt idx="538">
                  <c:v>-139.907056482464</c:v>
                </c:pt>
                <c:pt idx="539">
                  <c:v>-140.591655686978</c:v>
                </c:pt>
                <c:pt idx="540">
                  <c:v>-141.271383230262</c:v>
                </c:pt>
                <c:pt idx="541">
                  <c:v>-141.945976028975</c:v>
                </c:pt>
              </c:numCache>
            </c:numRef>
          </c:yVal>
          <c:smooth val="1"/>
        </c:ser>
        <c:dLbls>
          <c:showLegendKey val="0"/>
          <c:showVal val="0"/>
          <c:showCatName val="0"/>
          <c:showSerName val="0"/>
          <c:showPercent val="0"/>
          <c:showBubbleSize val="0"/>
        </c:dLbls>
        <c:axId val="175150592"/>
        <c:axId val="175127936"/>
      </c:scatterChart>
      <c:valAx>
        <c:axId val="174189952"/>
        <c:scaling>
          <c:logBase val="10"/>
          <c:orientation val="minMax"/>
          <c:max val="20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crossAx val="175126016"/>
        <c:crosses val="autoZero"/>
        <c:crossBetween val="midCat"/>
      </c:valAx>
      <c:valAx>
        <c:axId val="17512601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1" i="0" u="none" strike="noStrike" kern="1200" baseline="0">
                <a:solidFill>
                  <a:srgbClr val="FF0000"/>
                </a:solidFill>
                <a:latin typeface="+mn-lt"/>
                <a:ea typeface="+mn-ea"/>
                <a:cs typeface="+mn-cs"/>
              </a:defRPr>
            </a:pPr>
          </a:p>
        </c:txPr>
        <c:crossAx val="174189952"/>
        <c:crosses val="autoZero"/>
        <c:crossBetween val="midCat"/>
        <c:majorUnit val="20"/>
        <c:minorUnit val="10"/>
      </c:valAx>
      <c:valAx>
        <c:axId val="175150592"/>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127936"/>
        <c:crosses val="autoZero"/>
        <c:crossBetween val="midCat"/>
      </c:valAx>
      <c:valAx>
        <c:axId val="175127936"/>
        <c:scaling>
          <c:orientation val="minMax"/>
          <c:max val="180"/>
          <c:min val="-180"/>
        </c:scaling>
        <c:delete val="0"/>
        <c:axPos val="r"/>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Phase (deg)</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1" i="0" u="none" strike="noStrike" kern="1200" baseline="0">
                <a:solidFill>
                  <a:schemeClr val="tx1">
                    <a:lumMod val="95000"/>
                    <a:lumOff val="5000"/>
                  </a:schemeClr>
                </a:solidFill>
                <a:latin typeface="+mn-lt"/>
                <a:ea typeface="+mn-ea"/>
                <a:cs typeface="+mn-cs"/>
              </a:defRPr>
            </a:pPr>
          </a:p>
        </c:txPr>
        <c:crossAx val="175150592"/>
        <c:crosses val="max"/>
        <c:crossBetween val="midCat"/>
        <c:majorUnit val="90"/>
        <c:minorUnit val="45"/>
      </c:valAx>
    </c:plotArea>
    <c:legend>
      <c:legendPos val="r"/>
      <c:legendEntry>
        <c:idx val="1"/>
        <c:delete val="1"/>
      </c:legendEntry>
      <c:legendEntry>
        <c:idx val="2"/>
        <c:delete val="1"/>
      </c:legendEntry>
      <c:legendEntry>
        <c:idx val="3"/>
        <c:delete val="1"/>
      </c:legendEntry>
      <c:legendEntry>
        <c:idx val="4"/>
        <c:delete val="1"/>
      </c:legendEntry>
      <c:legendEntry>
        <c:idx val="5"/>
        <c:delete val="1"/>
      </c:legendEntry>
      <c:layout>
        <c:manualLayout>
          <c:xMode val="edge"/>
          <c:yMode val="edge"/>
          <c:x val="0.613925365103712"/>
          <c:y val="0.00703810127999403"/>
          <c:w val="0.284975005846066"/>
          <c:h val="0.0796438656068465"/>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4a1fb8a-f823-47d5-a6fb-4a0156a917a1}"/>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Eff_vs_IOUT!$AT$7:$AT$157</c:f>
              <c:numCache>
                <c:formatCode>General</c:formatCode>
                <c:ptCount val="151"/>
                <c:pt idx="0">
                  <c:v>0</c:v>
                </c:pt>
                <c:pt idx="1">
                  <c:v>57.8075466800246</c:v>
                </c:pt>
                <c:pt idx="2">
                  <c:v>71.5334726861206</c:v>
                </c:pt>
                <c:pt idx="3">
                  <c:v>77.6440562609289</c:v>
                </c:pt>
                <c:pt idx="4">
                  <c:v>81.0783653150573</c:v>
                </c:pt>
                <c:pt idx="5">
                  <c:v>83.2636592917007</c:v>
                </c:pt>
                <c:pt idx="6">
                  <c:v>84.7654199108757</c:v>
                </c:pt>
                <c:pt idx="7">
                  <c:v>85.8524337773122</c:v>
                </c:pt>
                <c:pt idx="8">
                  <c:v>86.6688008347972</c:v>
                </c:pt>
                <c:pt idx="9">
                  <c:v>87.2987163205759</c:v>
                </c:pt>
                <c:pt idx="10">
                  <c:v>88.4056991549997</c:v>
                </c:pt>
                <c:pt idx="11">
                  <c:v>88.8755266436023</c:v>
                </c:pt>
                <c:pt idx="12">
                  <c:v>89.2688335703066</c:v>
                </c:pt>
                <c:pt idx="13">
                  <c:v>89.6024566299636</c:v>
                </c:pt>
                <c:pt idx="14">
                  <c:v>89.888630852144</c:v>
                </c:pt>
                <c:pt idx="15">
                  <c:v>90.1364611632707</c:v>
                </c:pt>
                <c:pt idx="16">
                  <c:v>90.3528631877295</c:v>
                </c:pt>
                <c:pt idx="17">
                  <c:v>90.5431839634538</c:v>
                </c:pt>
                <c:pt idx="18">
                  <c:v>90.7116228060443</c:v>
                </c:pt>
                <c:pt idx="19">
                  <c:v>90.8615235686007</c:v>
                </c:pt>
                <c:pt idx="20">
                  <c:v>90.995581922981</c:v>
                </c:pt>
                <c:pt idx="21">
                  <c:v>91.1159951568968</c:v>
                </c:pt>
                <c:pt idx="22">
                  <c:v>91.2245722639014</c:v>
                </c:pt>
                <c:pt idx="23">
                  <c:v>91.3228160862094</c:v>
                </c:pt>
                <c:pt idx="24">
                  <c:v>91.4119854513964</c:v>
                </c:pt>
                <c:pt idx="25">
                  <c:v>91.4931427658674</c:v>
                </c:pt>
                <c:pt idx="26">
                  <c:v>91.5671908871874</c:v>
                </c:pt>
                <c:pt idx="27">
                  <c:v>91.6349019909286</c:v>
                </c:pt>
                <c:pt idx="28">
                  <c:v>91.6969403890032</c:v>
                </c:pt>
                <c:pt idx="29">
                  <c:v>91.7538807281686</c:v>
                </c:pt>
                <c:pt idx="30">
                  <c:v>91.8062226243114</c:v>
                </c:pt>
                <c:pt idx="31">
                  <c:v>91.8544025211705</c:v>
                </c:pt>
                <c:pt idx="32">
                  <c:v>91.8988033688344</c:v>
                </c:pt>
                <c:pt idx="33">
                  <c:v>91.9397625757506</c:v>
                </c:pt>
                <c:pt idx="34">
                  <c:v>91.977578583178</c:v>
                </c:pt>
                <c:pt idx="35">
                  <c:v>92.0125163326848</c:v>
                </c:pt>
                <c:pt idx="36">
                  <c:v>92.0448118381985</c:v>
                </c:pt>
                <c:pt idx="37">
                  <c:v>92.0746760291575</c:v>
                </c:pt>
                <c:pt idx="38">
                  <c:v>92.1022979968285</c:v>
                </c:pt>
                <c:pt idx="39">
                  <c:v>92.1278477491947</c:v>
                </c:pt>
                <c:pt idx="40">
                  <c:v>92.1514785590727</c:v>
                </c:pt>
                <c:pt idx="41">
                  <c:v>92.1733289738443</c:v>
                </c:pt>
                <c:pt idx="42">
                  <c:v>92.1935245423636</c:v>
                </c:pt>
                <c:pt idx="43">
                  <c:v>92.2121793044072</c:v>
                </c:pt>
                <c:pt idx="44">
                  <c:v>92.2293970799092</c:v>
                </c:pt>
                <c:pt idx="45">
                  <c:v>92.2452725886911</c:v>
                </c:pt>
                <c:pt idx="46">
                  <c:v>92.2598924261297</c:v>
                </c:pt>
                <c:pt idx="47">
                  <c:v>92.2733359159325</c:v>
                </c:pt>
                <c:pt idx="48">
                  <c:v>92.2856758577089</c:v>
                </c:pt>
                <c:pt idx="49">
                  <c:v>92.2969791841738</c:v>
                </c:pt>
                <c:pt idx="50">
                  <c:v>92.3073075404758</c:v>
                </c:pt>
                <c:pt idx="51">
                  <c:v>92.3167177962084</c:v>
                </c:pt>
                <c:pt idx="52">
                  <c:v>92.3252624990553</c:v>
                </c:pt>
                <c:pt idx="53">
                  <c:v>92.3329902776887</c:v>
                </c:pt>
                <c:pt idx="54">
                  <c:v>92.3399462004209</c:v>
                </c:pt>
                <c:pt idx="55">
                  <c:v>92.3461720951779</c:v>
                </c:pt>
                <c:pt idx="56">
                  <c:v>92.3517068355738</c:v>
                </c:pt>
                <c:pt idx="57">
                  <c:v>92.3565865972048</c:v>
                </c:pt>
                <c:pt idx="58">
                  <c:v>92.3608450877168</c:v>
                </c:pt>
                <c:pt idx="59">
                  <c:v>92.3645137537256</c:v>
                </c:pt>
                <c:pt idx="60">
                  <c:v>92.3676219672624</c:v>
                </c:pt>
                <c:pt idx="61">
                  <c:v>92.3701971940683</c:v>
                </c:pt>
                <c:pt idx="62">
                  <c:v>92.3722651457692</c:v>
                </c:pt>
                <c:pt idx="63">
                  <c:v>92.3738499177004</c:v>
                </c:pt>
                <c:pt idx="64">
                  <c:v>92.3749741139389</c:v>
                </c:pt>
                <c:pt idx="65">
                  <c:v>92.3756589609051</c:v>
                </c:pt>
                <c:pt idx="66">
                  <c:v>92.3759244107357</c:v>
                </c:pt>
                <c:pt idx="67">
                  <c:v>92.3757892354867</c:v>
                </c:pt>
                <c:pt idx="68">
                  <c:v>92.3752711131002</c:v>
                </c:pt>
                <c:pt idx="69">
                  <c:v>92.3743867059653</c:v>
                </c:pt>
                <c:pt idx="70">
                  <c:v>92.3731517328055</c:v>
                </c:pt>
                <c:pt idx="71">
                  <c:v>92.3715810345437</c:v>
                </c:pt>
                <c:pt idx="72">
                  <c:v>92.3696886347285</c:v>
                </c:pt>
                <c:pt idx="73">
                  <c:v>92.3674877950353</c:v>
                </c:pt>
                <c:pt idx="74">
                  <c:v>92.3649910663062</c:v>
                </c:pt>
                <c:pt idx="75">
                  <c:v>92.3622103355408</c:v>
                </c:pt>
                <c:pt idx="76">
                  <c:v>92.3591568692082</c:v>
                </c:pt>
                <c:pt idx="77">
                  <c:v>92.3558413532113</c:v>
                </c:pt>
                <c:pt idx="78">
                  <c:v>92.3522739298024</c:v>
                </c:pt>
                <c:pt idx="79">
                  <c:v>92.3484642317164</c:v>
                </c:pt>
                <c:pt idx="80">
                  <c:v>92.3444214137655</c:v>
                </c:pt>
                <c:pt idx="81">
                  <c:v>92.3401541821102</c:v>
                </c:pt>
                <c:pt idx="82">
                  <c:v>92.3356708214069</c:v>
                </c:pt>
                <c:pt idx="83">
                  <c:v>92.3309792200059</c:v>
                </c:pt>
                <c:pt idx="84">
                  <c:v>92.3260868933648</c:v>
                </c:pt>
                <c:pt idx="85">
                  <c:v>92.3210010058202</c:v>
                </c:pt>
                <c:pt idx="86">
                  <c:v>92.3157283908521</c:v>
                </c:pt>
                <c:pt idx="87">
                  <c:v>92.3102755699613</c:v>
                </c:pt>
                <c:pt idx="88">
                  <c:v>92.304648770268</c:v>
                </c:pt>
                <c:pt idx="89">
                  <c:v>92.2988539409329</c:v>
                </c:pt>
                <c:pt idx="90">
                  <c:v>92.2928967684915</c:v>
                </c:pt>
                <c:pt idx="91">
                  <c:v>92.286782691184</c:v>
                </c:pt>
                <c:pt idx="92">
                  <c:v>92.2805169123568</c:v>
                </c:pt>
                <c:pt idx="93">
                  <c:v>92.274104413006</c:v>
                </c:pt>
                <c:pt idx="94">
                  <c:v>92.2675499635247</c:v>
                </c:pt>
                <c:pt idx="95">
                  <c:v>92.2608581347144</c:v>
                </c:pt>
                <c:pt idx="96">
                  <c:v>92.2540333081115</c:v>
                </c:pt>
                <c:pt idx="97">
                  <c:v>92.2470796856803</c:v>
                </c:pt>
                <c:pt idx="98">
                  <c:v>92.2400012989154</c:v>
                </c:pt>
                <c:pt idx="99">
                  <c:v>92.2328020173967</c:v>
                </c:pt>
                <c:pt idx="100">
                  <c:v>92.2254855568342</c:v>
                </c:pt>
                <c:pt idx="101">
                  <c:v>92.2180554866376</c:v>
                </c:pt>
                <c:pt idx="102">
                  <c:v>92.2105152370433</c:v>
                </c:pt>
                <c:pt idx="103">
                  <c:v>92.2028681058295</c:v>
                </c:pt>
                <c:pt idx="104">
                  <c:v>92.1951172646453</c:v>
                </c:pt>
                <c:pt idx="105">
                  <c:v>92.1872657649811</c:v>
                </c:pt>
                <c:pt idx="106">
                  <c:v>92.1793165438027</c:v>
                </c:pt>
                <c:pt idx="107">
                  <c:v>92.171272428871</c:v>
                </c:pt>
                <c:pt idx="108">
                  <c:v>92.1631361437689</c:v>
                </c:pt>
                <c:pt idx="109">
                  <c:v>92.1549103126518</c:v>
                </c:pt>
                <c:pt idx="110">
                  <c:v>92.1465974647416</c:v>
                </c:pt>
                <c:pt idx="111">
                  <c:v>92.1382000385784</c:v>
                </c:pt>
                <c:pt idx="112">
                  <c:v>92.1297203860463</c:v>
                </c:pt>
                <c:pt idx="113">
                  <c:v>92.1211607761858</c:v>
                </c:pt>
                <c:pt idx="114">
                  <c:v>92.112523398808</c:v>
                </c:pt>
                <c:pt idx="115">
                  <c:v>92.1038103679197</c:v>
                </c:pt>
                <c:pt idx="116">
                  <c:v>92.0950237249735</c:v>
                </c:pt>
                <c:pt idx="117">
                  <c:v>92.0861654419515</c:v>
                </c:pt>
                <c:pt idx="118">
                  <c:v>92.0772374242934</c:v>
                </c:pt>
                <c:pt idx="119">
                  <c:v>92.0682415136775</c:v>
                </c:pt>
                <c:pt idx="120">
                  <c:v>92.0591794906635</c:v>
                </c:pt>
                <c:pt idx="121">
                  <c:v>92.0500530772049</c:v>
                </c:pt>
                <c:pt idx="122">
                  <c:v>92.0408639390384</c:v>
                </c:pt>
                <c:pt idx="123">
                  <c:v>92.0316136879576</c:v>
                </c:pt>
                <c:pt idx="124">
                  <c:v>92.022303883977</c:v>
                </c:pt>
                <c:pt idx="125">
                  <c:v>92.0129360373926</c:v>
                </c:pt>
                <c:pt idx="126">
                  <c:v>92.0035116107453</c:v>
                </c:pt>
                <c:pt idx="127">
                  <c:v>91.9940320206912</c:v>
                </c:pt>
                <c:pt idx="128">
                  <c:v>91.9844986397858</c:v>
                </c:pt>
                <c:pt idx="129">
                  <c:v>91.9749127981843</c:v>
                </c:pt>
                <c:pt idx="130">
                  <c:v>91.9652757852652</c:v>
                </c:pt>
                <c:pt idx="131">
                  <c:v>91.9555888511786</c:v>
                </c:pt>
                <c:pt idx="132">
                  <c:v>91.9458532083252</c:v>
                </c:pt>
                <c:pt idx="133">
                  <c:v>91.936070032769</c:v>
                </c:pt>
                <c:pt idx="134">
                  <c:v>91.9262404655863</c:v>
                </c:pt>
                <c:pt idx="135">
                  <c:v>91.9163656141561</c:v>
                </c:pt>
                <c:pt idx="136">
                  <c:v>91.9064465533927</c:v>
                </c:pt>
                <c:pt idx="137">
                  <c:v>91.8964843269253</c:v>
                </c:pt>
                <c:pt idx="138">
                  <c:v>91.8864799482267</c:v>
                </c:pt>
                <c:pt idx="139">
                  <c:v>91.8764344016924</c:v>
                </c:pt>
                <c:pt idx="140">
                  <c:v>91.8663486436752</c:v>
                </c:pt>
                <c:pt idx="141">
                  <c:v>91.8562236034747</c:v>
                </c:pt>
                <c:pt idx="142">
                  <c:v>91.8460601842859</c:v>
                </c:pt>
                <c:pt idx="143">
                  <c:v>91.8358592641077</c:v>
                </c:pt>
                <c:pt idx="144">
                  <c:v>91.8256216966144</c:v>
                </c:pt>
                <c:pt idx="145">
                  <c:v>91.8153483119903</c:v>
                </c:pt>
                <c:pt idx="146">
                  <c:v>91.805039917731</c:v>
                </c:pt>
                <c:pt idx="147">
                  <c:v>91.7946972994119</c:v>
                </c:pt>
                <c:pt idx="148">
                  <c:v>91.7843212214255</c:v>
                </c:pt>
                <c:pt idx="149">
                  <c:v>91.7739124276892</c:v>
                </c:pt>
                <c:pt idx="150">
                  <c:v>91.763471642325</c:v>
                </c:pt>
              </c:numCache>
            </c:numRef>
          </c:yVal>
          <c:smooth val="0"/>
        </c:ser>
        <c:dLbls>
          <c:showLegendKey val="0"/>
          <c:showVal val="0"/>
          <c:showCatName val="0"/>
          <c:showSerName val="0"/>
          <c:showPercent val="0"/>
          <c:showBubbleSize val="0"/>
        </c:dLbls>
        <c:axId val="174861312"/>
        <c:axId val="174875392"/>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Eff_vs_IOUT!$AI$7:$AI$157</c:f>
              <c:numCache>
                <c:formatCode>General</c:formatCode>
                <c:ptCount val="151"/>
                <c:pt idx="0">
                  <c:v>0</c:v>
                </c:pt>
                <c:pt idx="1">
                  <c:v>0.00405811640715088</c:v>
                </c:pt>
                <c:pt idx="2">
                  <c:v>0.00824721018374181</c:v>
                </c:pt>
                <c:pt idx="3">
                  <c:v>0.0125512249297662</c:v>
                </c:pt>
                <c:pt idx="4">
                  <c:v>0.0169667922401249</c:v>
                </c:pt>
                <c:pt idx="5">
                  <c:v>0.0214932023850893</c:v>
                </c:pt>
                <c:pt idx="6">
                  <c:v>0.0261308176719327</c:v>
                </c:pt>
                <c:pt idx="7">
                  <c:v>0.0308805322152994</c:v>
                </c:pt>
                <c:pt idx="8">
                  <c:v>0.0357435344908701</c:v>
                </c:pt>
                <c:pt idx="9">
                  <c:v>0.0407211867311833</c:v>
                </c:pt>
                <c:pt idx="10">
                  <c:v>0.0409921353524408</c:v>
                </c:pt>
                <c:pt idx="11">
                  <c:v>0.0451418170494447</c:v>
                </c:pt>
                <c:pt idx="12">
                  <c:v>0.0493103876353376</c:v>
                </c:pt>
                <c:pt idx="13">
                  <c:v>0.0534978471101193</c:v>
                </c:pt>
                <c:pt idx="14">
                  <c:v>0.05770419547379</c:v>
                </c:pt>
                <c:pt idx="15">
                  <c:v>0.0619294327263495</c:v>
                </c:pt>
                <c:pt idx="16">
                  <c:v>0.0661735588677979</c:v>
                </c:pt>
                <c:pt idx="17">
                  <c:v>0.0704365738981352</c:v>
                </c:pt>
                <c:pt idx="18">
                  <c:v>0.0747184778173614</c:v>
                </c:pt>
                <c:pt idx="19">
                  <c:v>0.0790192706254765</c:v>
                </c:pt>
                <c:pt idx="20">
                  <c:v>0.0833389523224804</c:v>
                </c:pt>
                <c:pt idx="21">
                  <c:v>0.0876775229083733</c:v>
                </c:pt>
                <c:pt idx="22">
                  <c:v>0.092034982383155</c:v>
                </c:pt>
                <c:pt idx="23">
                  <c:v>0.0964113307468257</c:v>
                </c:pt>
                <c:pt idx="24">
                  <c:v>0.100806567999385</c:v>
                </c:pt>
                <c:pt idx="25">
                  <c:v>0.105220694140834</c:v>
                </c:pt>
                <c:pt idx="26">
                  <c:v>0.109653709171171</c:v>
                </c:pt>
                <c:pt idx="27">
                  <c:v>0.114105613090397</c:v>
                </c:pt>
                <c:pt idx="28">
                  <c:v>0.118576405898512</c:v>
                </c:pt>
                <c:pt idx="29">
                  <c:v>0.123066087595516</c:v>
                </c:pt>
                <c:pt idx="30">
                  <c:v>0.127574658181409</c:v>
                </c:pt>
                <c:pt idx="31">
                  <c:v>0.132102117656191</c:v>
                </c:pt>
                <c:pt idx="32">
                  <c:v>0.136648466019861</c:v>
                </c:pt>
                <c:pt idx="33">
                  <c:v>0.141213703272421</c:v>
                </c:pt>
                <c:pt idx="34">
                  <c:v>0.145797829413869</c:v>
                </c:pt>
                <c:pt idx="35">
                  <c:v>0.150400844444207</c:v>
                </c:pt>
                <c:pt idx="36">
                  <c:v>0.155022748363433</c:v>
                </c:pt>
                <c:pt idx="37">
                  <c:v>0.159663541171548</c:v>
                </c:pt>
                <c:pt idx="38">
                  <c:v>0.164323222868552</c:v>
                </c:pt>
                <c:pt idx="39">
                  <c:v>0.169001793454445</c:v>
                </c:pt>
                <c:pt idx="40">
                  <c:v>0.173699252929226</c:v>
                </c:pt>
                <c:pt idx="41">
                  <c:v>0.178415601292897</c:v>
                </c:pt>
                <c:pt idx="42">
                  <c:v>0.183150838545457</c:v>
                </c:pt>
                <c:pt idx="43">
                  <c:v>0.187904964686905</c:v>
                </c:pt>
                <c:pt idx="44">
                  <c:v>0.192677979717242</c:v>
                </c:pt>
                <c:pt idx="45">
                  <c:v>0.197469883636468</c:v>
                </c:pt>
                <c:pt idx="46">
                  <c:v>0.202280676444584</c:v>
                </c:pt>
                <c:pt idx="47">
                  <c:v>0.207110358141588</c:v>
                </c:pt>
                <c:pt idx="48">
                  <c:v>0.21195892872748</c:v>
                </c:pt>
                <c:pt idx="49">
                  <c:v>0.216826388202262</c:v>
                </c:pt>
                <c:pt idx="50">
                  <c:v>0.221712736565933</c:v>
                </c:pt>
                <c:pt idx="51">
                  <c:v>0.226617973818492</c:v>
                </c:pt>
                <c:pt idx="52">
                  <c:v>0.231542099959941</c:v>
                </c:pt>
                <c:pt idx="53">
                  <c:v>0.236485114990278</c:v>
                </c:pt>
                <c:pt idx="54">
                  <c:v>0.241447018909504</c:v>
                </c:pt>
                <c:pt idx="55">
                  <c:v>0.246427811717619</c:v>
                </c:pt>
                <c:pt idx="56">
                  <c:v>0.251427493414623</c:v>
                </c:pt>
                <c:pt idx="57">
                  <c:v>0.256446064000516</c:v>
                </c:pt>
                <c:pt idx="58">
                  <c:v>0.261483523475298</c:v>
                </c:pt>
                <c:pt idx="59">
                  <c:v>0.266539871838968</c:v>
                </c:pt>
                <c:pt idx="60">
                  <c:v>0.271615109091528</c:v>
                </c:pt>
                <c:pt idx="61">
                  <c:v>0.276709235232976</c:v>
                </c:pt>
                <c:pt idx="62">
                  <c:v>0.281822250263314</c:v>
                </c:pt>
                <c:pt idx="63">
                  <c:v>0.28695415418254</c:v>
                </c:pt>
                <c:pt idx="64">
                  <c:v>0.292104946990655</c:v>
                </c:pt>
                <c:pt idx="65">
                  <c:v>0.297274628687659</c:v>
                </c:pt>
                <c:pt idx="66">
                  <c:v>0.302463199273552</c:v>
                </c:pt>
                <c:pt idx="67">
                  <c:v>0.307670658748334</c:v>
                </c:pt>
                <c:pt idx="68">
                  <c:v>0.312897007112004</c:v>
                </c:pt>
                <c:pt idx="69">
                  <c:v>0.318142244364564</c:v>
                </c:pt>
                <c:pt idx="70">
                  <c:v>0.323406370506012</c:v>
                </c:pt>
                <c:pt idx="71">
                  <c:v>0.328689385536349</c:v>
                </c:pt>
                <c:pt idx="72">
                  <c:v>0.333991289455576</c:v>
                </c:pt>
                <c:pt idx="73">
                  <c:v>0.339312082263691</c:v>
                </c:pt>
                <c:pt idx="74">
                  <c:v>0.344651763960695</c:v>
                </c:pt>
                <c:pt idx="75">
                  <c:v>0.350010334546587</c:v>
                </c:pt>
                <c:pt idx="76">
                  <c:v>0.355387794021369</c:v>
                </c:pt>
                <c:pt idx="77">
                  <c:v>0.36078414238504</c:v>
                </c:pt>
                <c:pt idx="78">
                  <c:v>0.366199379637599</c:v>
                </c:pt>
                <c:pt idx="79">
                  <c:v>0.371633505779048</c:v>
                </c:pt>
                <c:pt idx="80">
                  <c:v>0.377086520809385</c:v>
                </c:pt>
                <c:pt idx="81">
                  <c:v>0.382558424728611</c:v>
                </c:pt>
                <c:pt idx="82">
                  <c:v>0.388049217536726</c:v>
                </c:pt>
                <c:pt idx="83">
                  <c:v>0.39355889923373</c:v>
                </c:pt>
                <c:pt idx="84">
                  <c:v>0.399087469819623</c:v>
                </c:pt>
                <c:pt idx="85">
                  <c:v>0.404634929294405</c:v>
                </c:pt>
                <c:pt idx="86">
                  <c:v>0.410201277658075</c:v>
                </c:pt>
                <c:pt idx="87">
                  <c:v>0.415786514910635</c:v>
                </c:pt>
                <c:pt idx="88">
                  <c:v>0.421390641052083</c:v>
                </c:pt>
                <c:pt idx="89">
                  <c:v>0.427013656082421</c:v>
                </c:pt>
                <c:pt idx="90">
                  <c:v>0.432655560001647</c:v>
                </c:pt>
                <c:pt idx="91">
                  <c:v>0.438316352809762</c:v>
                </c:pt>
                <c:pt idx="92">
                  <c:v>0.443996034506766</c:v>
                </c:pt>
                <c:pt idx="93">
                  <c:v>0.449694605092659</c:v>
                </c:pt>
                <c:pt idx="94">
                  <c:v>0.455412064567441</c:v>
                </c:pt>
                <c:pt idx="95">
                  <c:v>0.461148412931111</c:v>
                </c:pt>
                <c:pt idx="96">
                  <c:v>0.466903650183671</c:v>
                </c:pt>
                <c:pt idx="97">
                  <c:v>0.472677776325119</c:v>
                </c:pt>
                <c:pt idx="98">
                  <c:v>0.478470791355456</c:v>
                </c:pt>
                <c:pt idx="99">
                  <c:v>0.484282695274683</c:v>
                </c:pt>
                <c:pt idx="100">
                  <c:v>0.490113488082798</c:v>
                </c:pt>
                <c:pt idx="101">
                  <c:v>0.495963169779802</c:v>
                </c:pt>
                <c:pt idx="102">
                  <c:v>0.501831740365695</c:v>
                </c:pt>
                <c:pt idx="103">
                  <c:v>0.507719199840476</c:v>
                </c:pt>
                <c:pt idx="104">
                  <c:v>0.513625548204147</c:v>
                </c:pt>
                <c:pt idx="105">
                  <c:v>0.519550785456707</c:v>
                </c:pt>
                <c:pt idx="106">
                  <c:v>0.525494911598155</c:v>
                </c:pt>
                <c:pt idx="107">
                  <c:v>0.531457926628492</c:v>
                </c:pt>
                <c:pt idx="108">
                  <c:v>0.537439830547718</c:v>
                </c:pt>
                <c:pt idx="109">
                  <c:v>0.543440623355833</c:v>
                </c:pt>
                <c:pt idx="110">
                  <c:v>0.549460305052837</c:v>
                </c:pt>
                <c:pt idx="111">
                  <c:v>0.55549887563873</c:v>
                </c:pt>
                <c:pt idx="112">
                  <c:v>0.561556335113512</c:v>
                </c:pt>
                <c:pt idx="113">
                  <c:v>0.567632683477183</c:v>
                </c:pt>
                <c:pt idx="114">
                  <c:v>0.573727920729742</c:v>
                </c:pt>
                <c:pt idx="115">
                  <c:v>0.57984204687119</c:v>
                </c:pt>
                <c:pt idx="116">
                  <c:v>0.585975061901528</c:v>
                </c:pt>
                <c:pt idx="117">
                  <c:v>0.592126965820754</c:v>
                </c:pt>
                <c:pt idx="118">
                  <c:v>0.598297758628869</c:v>
                </c:pt>
                <c:pt idx="119">
                  <c:v>0.604487440325873</c:v>
                </c:pt>
                <c:pt idx="120">
                  <c:v>0.610696010911766</c:v>
                </c:pt>
                <c:pt idx="121">
                  <c:v>0.616923470386548</c:v>
                </c:pt>
                <c:pt idx="122">
                  <c:v>0.623169818750218</c:v>
                </c:pt>
                <c:pt idx="123">
                  <c:v>0.629435056002778</c:v>
                </c:pt>
                <c:pt idx="124">
                  <c:v>0.635719182144226</c:v>
                </c:pt>
                <c:pt idx="125">
                  <c:v>0.642022197174564</c:v>
                </c:pt>
                <c:pt idx="126">
                  <c:v>0.64834410109379</c:v>
                </c:pt>
                <c:pt idx="127">
                  <c:v>0.654684893901905</c:v>
                </c:pt>
                <c:pt idx="128">
                  <c:v>0.661044575598909</c:v>
                </c:pt>
                <c:pt idx="129">
                  <c:v>0.667423146184802</c:v>
                </c:pt>
                <c:pt idx="130">
                  <c:v>0.673820605659583</c:v>
                </c:pt>
                <c:pt idx="131">
                  <c:v>0.680236954023254</c:v>
                </c:pt>
                <c:pt idx="132">
                  <c:v>0.686672191275814</c:v>
                </c:pt>
                <c:pt idx="133">
                  <c:v>0.693126317417262</c:v>
                </c:pt>
                <c:pt idx="134">
                  <c:v>0.699599332447599</c:v>
                </c:pt>
                <c:pt idx="135">
                  <c:v>0.706091236366825</c:v>
                </c:pt>
                <c:pt idx="136">
                  <c:v>0.71260202917494</c:v>
                </c:pt>
                <c:pt idx="137">
                  <c:v>0.719131710871944</c:v>
                </c:pt>
                <c:pt idx="138">
                  <c:v>0.725680281457837</c:v>
                </c:pt>
                <c:pt idx="139">
                  <c:v>0.732247740932619</c:v>
                </c:pt>
                <c:pt idx="140">
                  <c:v>0.73883408929629</c:v>
                </c:pt>
                <c:pt idx="141">
                  <c:v>0.745439326548849</c:v>
                </c:pt>
                <c:pt idx="142">
                  <c:v>0.752063452690298</c:v>
                </c:pt>
                <c:pt idx="143">
                  <c:v>0.758706467720635</c:v>
                </c:pt>
                <c:pt idx="144">
                  <c:v>0.765368371639861</c:v>
                </c:pt>
                <c:pt idx="145">
                  <c:v>0.772049164447976</c:v>
                </c:pt>
                <c:pt idx="146">
                  <c:v>0.77874884614498</c:v>
                </c:pt>
                <c:pt idx="147">
                  <c:v>0.785467416730873</c:v>
                </c:pt>
                <c:pt idx="148">
                  <c:v>0.792204876205655</c:v>
                </c:pt>
                <c:pt idx="149">
                  <c:v>0.798961224569325</c:v>
                </c:pt>
                <c:pt idx="150">
                  <c:v>0.805736461821885</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Eff_vs_IOUT!$S$8:$S$157</c:f>
              <c:numCache>
                <c:formatCode>General</c:formatCode>
                <c:ptCount val="150"/>
                <c:pt idx="0">
                  <c:v>0.0133333333333333</c:v>
                </c:pt>
                <c:pt idx="1">
                  <c:v>0.0266666666666667</c:v>
                </c:pt>
                <c:pt idx="2">
                  <c:v>0.04</c:v>
                </c:pt>
                <c:pt idx="3">
                  <c:v>0.0533333333333333</c:v>
                </c:pt>
                <c:pt idx="4">
                  <c:v>0.0666666666666667</c:v>
                </c:pt>
                <c:pt idx="5">
                  <c:v>0.08</c:v>
                </c:pt>
                <c:pt idx="6">
                  <c:v>0.0933333333333333</c:v>
                </c:pt>
                <c:pt idx="7">
                  <c:v>0.106666666666667</c:v>
                </c:pt>
                <c:pt idx="8">
                  <c:v>0.12</c:v>
                </c:pt>
                <c:pt idx="9">
                  <c:v>0.133333333333333</c:v>
                </c:pt>
                <c:pt idx="10">
                  <c:v>0.146666666666667</c:v>
                </c:pt>
                <c:pt idx="11">
                  <c:v>0.16</c:v>
                </c:pt>
                <c:pt idx="12">
                  <c:v>0.173333333333333</c:v>
                </c:pt>
                <c:pt idx="13">
                  <c:v>0.186666666666667</c:v>
                </c:pt>
                <c:pt idx="14">
                  <c:v>0.2</c:v>
                </c:pt>
                <c:pt idx="15">
                  <c:v>0.213333333333333</c:v>
                </c:pt>
                <c:pt idx="16">
                  <c:v>0.226666666666667</c:v>
                </c:pt>
                <c:pt idx="17">
                  <c:v>0.24</c:v>
                </c:pt>
                <c:pt idx="18">
                  <c:v>0.253333333333333</c:v>
                </c:pt>
                <c:pt idx="19">
                  <c:v>0.266666666666667</c:v>
                </c:pt>
                <c:pt idx="20">
                  <c:v>0.28</c:v>
                </c:pt>
                <c:pt idx="21">
                  <c:v>0.293333333333333</c:v>
                </c:pt>
                <c:pt idx="22">
                  <c:v>0.306666666666667</c:v>
                </c:pt>
                <c:pt idx="23">
                  <c:v>0.32</c:v>
                </c:pt>
                <c:pt idx="24">
                  <c:v>0.333333333333333</c:v>
                </c:pt>
                <c:pt idx="25">
                  <c:v>0.346666666666667</c:v>
                </c:pt>
                <c:pt idx="26">
                  <c:v>0.36</c:v>
                </c:pt>
                <c:pt idx="27">
                  <c:v>0.373333333333333</c:v>
                </c:pt>
                <c:pt idx="28">
                  <c:v>0.386666666666667</c:v>
                </c:pt>
                <c:pt idx="29">
                  <c:v>0.4</c:v>
                </c:pt>
                <c:pt idx="30">
                  <c:v>0.413333333333333</c:v>
                </c:pt>
                <c:pt idx="31">
                  <c:v>0.426666666666667</c:v>
                </c:pt>
                <c:pt idx="32">
                  <c:v>0.44</c:v>
                </c:pt>
                <c:pt idx="33">
                  <c:v>0.453333333333333</c:v>
                </c:pt>
                <c:pt idx="34">
                  <c:v>0.466666666666667</c:v>
                </c:pt>
                <c:pt idx="35">
                  <c:v>0.48</c:v>
                </c:pt>
                <c:pt idx="36">
                  <c:v>0.493333333333333</c:v>
                </c:pt>
                <c:pt idx="37">
                  <c:v>0.506666666666667</c:v>
                </c:pt>
                <c:pt idx="38">
                  <c:v>0.52</c:v>
                </c:pt>
                <c:pt idx="39">
                  <c:v>0.533333333333333</c:v>
                </c:pt>
                <c:pt idx="40">
                  <c:v>0.546666666666667</c:v>
                </c:pt>
                <c:pt idx="41">
                  <c:v>0.56</c:v>
                </c:pt>
                <c:pt idx="42">
                  <c:v>0.573333333333333</c:v>
                </c:pt>
                <c:pt idx="43">
                  <c:v>0.586666666666667</c:v>
                </c:pt>
                <c:pt idx="44">
                  <c:v>0.6</c:v>
                </c:pt>
                <c:pt idx="45">
                  <c:v>0.613333333333333</c:v>
                </c:pt>
                <c:pt idx="46">
                  <c:v>0.626666666666667</c:v>
                </c:pt>
                <c:pt idx="47">
                  <c:v>0.64</c:v>
                </c:pt>
                <c:pt idx="48">
                  <c:v>0.653333333333333</c:v>
                </c:pt>
                <c:pt idx="49">
                  <c:v>0.666666666666667</c:v>
                </c:pt>
                <c:pt idx="50">
                  <c:v>0.68</c:v>
                </c:pt>
                <c:pt idx="51">
                  <c:v>0.693333333333333</c:v>
                </c:pt>
                <c:pt idx="52">
                  <c:v>0.706666666666667</c:v>
                </c:pt>
                <c:pt idx="53">
                  <c:v>0.72</c:v>
                </c:pt>
                <c:pt idx="54">
                  <c:v>0.733333333333333</c:v>
                </c:pt>
                <c:pt idx="55">
                  <c:v>0.746666666666667</c:v>
                </c:pt>
                <c:pt idx="56">
                  <c:v>0.76</c:v>
                </c:pt>
                <c:pt idx="57">
                  <c:v>0.773333333333333</c:v>
                </c:pt>
                <c:pt idx="58">
                  <c:v>0.786666666666667</c:v>
                </c:pt>
                <c:pt idx="59">
                  <c:v>0.8</c:v>
                </c:pt>
                <c:pt idx="60">
                  <c:v>0.813333333333333</c:v>
                </c:pt>
                <c:pt idx="61">
                  <c:v>0.826666666666667</c:v>
                </c:pt>
                <c:pt idx="62">
                  <c:v>0.84</c:v>
                </c:pt>
                <c:pt idx="63">
                  <c:v>0.853333333333333</c:v>
                </c:pt>
                <c:pt idx="64">
                  <c:v>0.866666666666667</c:v>
                </c:pt>
                <c:pt idx="65">
                  <c:v>0.88</c:v>
                </c:pt>
                <c:pt idx="66">
                  <c:v>0.893333333333333</c:v>
                </c:pt>
                <c:pt idx="67">
                  <c:v>0.906666666666667</c:v>
                </c:pt>
                <c:pt idx="68">
                  <c:v>0.92</c:v>
                </c:pt>
                <c:pt idx="69">
                  <c:v>0.933333333333333</c:v>
                </c:pt>
                <c:pt idx="70">
                  <c:v>0.946666666666667</c:v>
                </c:pt>
                <c:pt idx="71">
                  <c:v>0.96</c:v>
                </c:pt>
                <c:pt idx="72">
                  <c:v>0.973333333333333</c:v>
                </c:pt>
                <c:pt idx="73">
                  <c:v>0.986666666666667</c:v>
                </c:pt>
                <c:pt idx="74">
                  <c:v>1</c:v>
                </c:pt>
                <c:pt idx="75">
                  <c:v>1.01333333333333</c:v>
                </c:pt>
                <c:pt idx="76">
                  <c:v>1.02666666666667</c:v>
                </c:pt>
                <c:pt idx="77">
                  <c:v>1.04</c:v>
                </c:pt>
                <c:pt idx="78">
                  <c:v>1.05333333333333</c:v>
                </c:pt>
                <c:pt idx="79">
                  <c:v>1.06666666666667</c:v>
                </c:pt>
                <c:pt idx="80">
                  <c:v>1.08</c:v>
                </c:pt>
                <c:pt idx="81">
                  <c:v>1.09333333333333</c:v>
                </c:pt>
                <c:pt idx="82">
                  <c:v>1.10666666666667</c:v>
                </c:pt>
                <c:pt idx="83">
                  <c:v>1.12</c:v>
                </c:pt>
                <c:pt idx="84">
                  <c:v>1.13333333333333</c:v>
                </c:pt>
                <c:pt idx="85">
                  <c:v>1.14666666666667</c:v>
                </c:pt>
                <c:pt idx="86">
                  <c:v>1.16</c:v>
                </c:pt>
                <c:pt idx="87">
                  <c:v>1.17333333333333</c:v>
                </c:pt>
                <c:pt idx="88">
                  <c:v>1.18666666666667</c:v>
                </c:pt>
                <c:pt idx="89">
                  <c:v>1.2</c:v>
                </c:pt>
                <c:pt idx="90">
                  <c:v>1.21333333333333</c:v>
                </c:pt>
                <c:pt idx="91">
                  <c:v>1.22666666666667</c:v>
                </c:pt>
                <c:pt idx="92">
                  <c:v>1.24</c:v>
                </c:pt>
                <c:pt idx="93">
                  <c:v>1.25333333333333</c:v>
                </c:pt>
                <c:pt idx="94">
                  <c:v>1.26666666666667</c:v>
                </c:pt>
                <c:pt idx="95">
                  <c:v>1.28</c:v>
                </c:pt>
                <c:pt idx="96">
                  <c:v>1.29333333333333</c:v>
                </c:pt>
                <c:pt idx="97">
                  <c:v>1.30666666666667</c:v>
                </c:pt>
                <c:pt idx="98">
                  <c:v>1.32</c:v>
                </c:pt>
                <c:pt idx="99">
                  <c:v>1.33333333333333</c:v>
                </c:pt>
                <c:pt idx="100">
                  <c:v>1.34666666666667</c:v>
                </c:pt>
                <c:pt idx="101">
                  <c:v>1.36</c:v>
                </c:pt>
                <c:pt idx="102">
                  <c:v>1.37333333333333</c:v>
                </c:pt>
                <c:pt idx="103">
                  <c:v>1.38666666666667</c:v>
                </c:pt>
                <c:pt idx="104">
                  <c:v>1.4</c:v>
                </c:pt>
                <c:pt idx="105">
                  <c:v>1.41333333333333</c:v>
                </c:pt>
                <c:pt idx="106">
                  <c:v>1.42666666666667</c:v>
                </c:pt>
                <c:pt idx="107">
                  <c:v>1.44</c:v>
                </c:pt>
                <c:pt idx="108">
                  <c:v>1.45333333333333</c:v>
                </c:pt>
                <c:pt idx="109">
                  <c:v>1.46666666666667</c:v>
                </c:pt>
                <c:pt idx="110">
                  <c:v>1.48</c:v>
                </c:pt>
                <c:pt idx="111">
                  <c:v>1.49333333333333</c:v>
                </c:pt>
                <c:pt idx="112">
                  <c:v>1.50666666666667</c:v>
                </c:pt>
                <c:pt idx="113">
                  <c:v>1.52</c:v>
                </c:pt>
                <c:pt idx="114">
                  <c:v>1.53333333333333</c:v>
                </c:pt>
                <c:pt idx="115">
                  <c:v>1.54666666666667</c:v>
                </c:pt>
                <c:pt idx="116">
                  <c:v>1.56</c:v>
                </c:pt>
                <c:pt idx="117">
                  <c:v>1.57333333333333</c:v>
                </c:pt>
                <c:pt idx="118">
                  <c:v>1.58666666666667</c:v>
                </c:pt>
                <c:pt idx="119">
                  <c:v>1.6</c:v>
                </c:pt>
                <c:pt idx="120">
                  <c:v>1.61333333333333</c:v>
                </c:pt>
                <c:pt idx="121">
                  <c:v>1.62666666666667</c:v>
                </c:pt>
                <c:pt idx="122">
                  <c:v>1.64</c:v>
                </c:pt>
                <c:pt idx="123">
                  <c:v>1.65333333333333</c:v>
                </c:pt>
                <c:pt idx="124">
                  <c:v>1.66666666666667</c:v>
                </c:pt>
                <c:pt idx="125">
                  <c:v>1.68</c:v>
                </c:pt>
                <c:pt idx="126">
                  <c:v>1.69333333333333</c:v>
                </c:pt>
                <c:pt idx="127">
                  <c:v>1.70666666666667</c:v>
                </c:pt>
                <c:pt idx="128">
                  <c:v>1.72</c:v>
                </c:pt>
                <c:pt idx="129">
                  <c:v>1.73333333333333</c:v>
                </c:pt>
                <c:pt idx="130">
                  <c:v>1.74666666666667</c:v>
                </c:pt>
                <c:pt idx="131">
                  <c:v>1.76</c:v>
                </c:pt>
                <c:pt idx="132">
                  <c:v>1.77333333333333</c:v>
                </c:pt>
                <c:pt idx="133">
                  <c:v>1.78666666666667</c:v>
                </c:pt>
                <c:pt idx="134">
                  <c:v>1.8</c:v>
                </c:pt>
                <c:pt idx="135">
                  <c:v>1.81333333333333</c:v>
                </c:pt>
                <c:pt idx="136">
                  <c:v>1.82666666666667</c:v>
                </c:pt>
                <c:pt idx="137">
                  <c:v>1.84</c:v>
                </c:pt>
                <c:pt idx="138">
                  <c:v>1.85333333333333</c:v>
                </c:pt>
                <c:pt idx="139">
                  <c:v>1.86666666666667</c:v>
                </c:pt>
                <c:pt idx="140">
                  <c:v>1.88</c:v>
                </c:pt>
                <c:pt idx="141">
                  <c:v>1.89333333333333</c:v>
                </c:pt>
                <c:pt idx="142">
                  <c:v>1.90666666666667</c:v>
                </c:pt>
                <c:pt idx="143">
                  <c:v>1.92</c:v>
                </c:pt>
                <c:pt idx="144">
                  <c:v>1.93333333333333</c:v>
                </c:pt>
                <c:pt idx="145">
                  <c:v>1.94666666666667</c:v>
                </c:pt>
                <c:pt idx="146">
                  <c:v>1.96</c:v>
                </c:pt>
                <c:pt idx="147">
                  <c:v>1.97333333333333</c:v>
                </c:pt>
                <c:pt idx="148">
                  <c:v>1.98666666666667</c:v>
                </c:pt>
                <c:pt idx="149">
                  <c:v>2</c:v>
                </c:pt>
              </c:numCache>
            </c:numRef>
          </c:xVal>
          <c:yVal>
            <c:numRef>
              <c:f>Eff_vs_IOUT!$AN$8:$AN$157</c:f>
              <c:numCache>
                <c:formatCode>General</c:formatCode>
                <c:ptCount val="150"/>
                <c:pt idx="0">
                  <c:v>0.00433333333333333</c:v>
                </c:pt>
                <c:pt idx="1">
                  <c:v>0.00866666666666667</c:v>
                </c:pt>
                <c:pt idx="2">
                  <c:v>0.013</c:v>
                </c:pt>
                <c:pt idx="3">
                  <c:v>0.0173333333333333</c:v>
                </c:pt>
                <c:pt idx="4">
                  <c:v>0.0216666666666667</c:v>
                </c:pt>
                <c:pt idx="5">
                  <c:v>0.026</c:v>
                </c:pt>
                <c:pt idx="6">
                  <c:v>0.0303333333333333</c:v>
                </c:pt>
                <c:pt idx="7">
                  <c:v>0.0346666666666667</c:v>
                </c:pt>
                <c:pt idx="8">
                  <c:v>0.039</c:v>
                </c:pt>
                <c:pt idx="9">
                  <c:v>0.0433333333333333</c:v>
                </c:pt>
                <c:pt idx="10">
                  <c:v>0.0476666666666667</c:v>
                </c:pt>
                <c:pt idx="11">
                  <c:v>0.052</c:v>
                </c:pt>
                <c:pt idx="12">
                  <c:v>0.0563333333333333</c:v>
                </c:pt>
                <c:pt idx="13">
                  <c:v>0.0606666666666667</c:v>
                </c:pt>
                <c:pt idx="14">
                  <c:v>0.065</c:v>
                </c:pt>
                <c:pt idx="15">
                  <c:v>0.0693333333333333</c:v>
                </c:pt>
                <c:pt idx="16">
                  <c:v>0.0736666666666667</c:v>
                </c:pt>
                <c:pt idx="17">
                  <c:v>0.078</c:v>
                </c:pt>
                <c:pt idx="18">
                  <c:v>0.0823333333333333</c:v>
                </c:pt>
                <c:pt idx="19">
                  <c:v>0.0866666666666667</c:v>
                </c:pt>
                <c:pt idx="20">
                  <c:v>0.091</c:v>
                </c:pt>
                <c:pt idx="21">
                  <c:v>0.0953333333333333</c:v>
                </c:pt>
                <c:pt idx="22">
                  <c:v>0.0996666666666667</c:v>
                </c:pt>
                <c:pt idx="23">
                  <c:v>0.104</c:v>
                </c:pt>
                <c:pt idx="24">
                  <c:v>0.108333333333333</c:v>
                </c:pt>
                <c:pt idx="25">
                  <c:v>0.112666666666667</c:v>
                </c:pt>
                <c:pt idx="26">
                  <c:v>0.117</c:v>
                </c:pt>
                <c:pt idx="27">
                  <c:v>0.121333333333333</c:v>
                </c:pt>
                <c:pt idx="28">
                  <c:v>0.125666666666667</c:v>
                </c:pt>
                <c:pt idx="29">
                  <c:v>0.13</c:v>
                </c:pt>
                <c:pt idx="30">
                  <c:v>0.134333333333333</c:v>
                </c:pt>
                <c:pt idx="31">
                  <c:v>0.138666666666667</c:v>
                </c:pt>
                <c:pt idx="32">
                  <c:v>0.143</c:v>
                </c:pt>
                <c:pt idx="33">
                  <c:v>0.147333333333333</c:v>
                </c:pt>
                <c:pt idx="34">
                  <c:v>0.151666666666667</c:v>
                </c:pt>
                <c:pt idx="35">
                  <c:v>0.156</c:v>
                </c:pt>
                <c:pt idx="36">
                  <c:v>0.160333333333333</c:v>
                </c:pt>
                <c:pt idx="37">
                  <c:v>0.164666666666667</c:v>
                </c:pt>
                <c:pt idx="38">
                  <c:v>0.169</c:v>
                </c:pt>
                <c:pt idx="39">
                  <c:v>0.173333333333333</c:v>
                </c:pt>
                <c:pt idx="40">
                  <c:v>0.177666666666667</c:v>
                </c:pt>
                <c:pt idx="41">
                  <c:v>0.182</c:v>
                </c:pt>
                <c:pt idx="42">
                  <c:v>0.186333333333333</c:v>
                </c:pt>
                <c:pt idx="43">
                  <c:v>0.190666666666667</c:v>
                </c:pt>
                <c:pt idx="44">
                  <c:v>0.195</c:v>
                </c:pt>
                <c:pt idx="45">
                  <c:v>0.199333333333333</c:v>
                </c:pt>
                <c:pt idx="46">
                  <c:v>0.203666666666667</c:v>
                </c:pt>
                <c:pt idx="47">
                  <c:v>0.208</c:v>
                </c:pt>
                <c:pt idx="48">
                  <c:v>0.212333333333333</c:v>
                </c:pt>
                <c:pt idx="49">
                  <c:v>0.216666666666667</c:v>
                </c:pt>
                <c:pt idx="50">
                  <c:v>0.221</c:v>
                </c:pt>
                <c:pt idx="51">
                  <c:v>0.225333333333333</c:v>
                </c:pt>
                <c:pt idx="52">
                  <c:v>0.229666666666667</c:v>
                </c:pt>
                <c:pt idx="53">
                  <c:v>0.234</c:v>
                </c:pt>
                <c:pt idx="54">
                  <c:v>0.238333333333333</c:v>
                </c:pt>
                <c:pt idx="55">
                  <c:v>0.242666666666667</c:v>
                </c:pt>
                <c:pt idx="56">
                  <c:v>0.247</c:v>
                </c:pt>
                <c:pt idx="57">
                  <c:v>0.251333333333333</c:v>
                </c:pt>
                <c:pt idx="58">
                  <c:v>0.255666666666667</c:v>
                </c:pt>
                <c:pt idx="59">
                  <c:v>0.26</c:v>
                </c:pt>
                <c:pt idx="60">
                  <c:v>0.264333333333333</c:v>
                </c:pt>
                <c:pt idx="61">
                  <c:v>0.268666666666667</c:v>
                </c:pt>
                <c:pt idx="62">
                  <c:v>0.273</c:v>
                </c:pt>
                <c:pt idx="63">
                  <c:v>0.277333333333333</c:v>
                </c:pt>
                <c:pt idx="64">
                  <c:v>0.281666666666667</c:v>
                </c:pt>
                <c:pt idx="65">
                  <c:v>0.286</c:v>
                </c:pt>
                <c:pt idx="66">
                  <c:v>0.290333333333333</c:v>
                </c:pt>
                <c:pt idx="67">
                  <c:v>0.294666666666667</c:v>
                </c:pt>
                <c:pt idx="68">
                  <c:v>0.299</c:v>
                </c:pt>
                <c:pt idx="69">
                  <c:v>0.303333333333333</c:v>
                </c:pt>
                <c:pt idx="70">
                  <c:v>0.307666666666667</c:v>
                </c:pt>
                <c:pt idx="71">
                  <c:v>0.312</c:v>
                </c:pt>
                <c:pt idx="72">
                  <c:v>0.316333333333333</c:v>
                </c:pt>
                <c:pt idx="73">
                  <c:v>0.320666666666667</c:v>
                </c:pt>
                <c:pt idx="74">
                  <c:v>0.325</c:v>
                </c:pt>
                <c:pt idx="75">
                  <c:v>0.329333333333333</c:v>
                </c:pt>
                <c:pt idx="76">
                  <c:v>0.333666666666667</c:v>
                </c:pt>
                <c:pt idx="77">
                  <c:v>0.338</c:v>
                </c:pt>
                <c:pt idx="78">
                  <c:v>0.342333333333333</c:v>
                </c:pt>
                <c:pt idx="79">
                  <c:v>0.346666666666667</c:v>
                </c:pt>
                <c:pt idx="80">
                  <c:v>0.351</c:v>
                </c:pt>
                <c:pt idx="81">
                  <c:v>0.355333333333333</c:v>
                </c:pt>
                <c:pt idx="82">
                  <c:v>0.359666666666667</c:v>
                </c:pt>
                <c:pt idx="83">
                  <c:v>0.364</c:v>
                </c:pt>
                <c:pt idx="84">
                  <c:v>0.368333333333333</c:v>
                </c:pt>
                <c:pt idx="85">
                  <c:v>0.372666666666667</c:v>
                </c:pt>
                <c:pt idx="86">
                  <c:v>0.377</c:v>
                </c:pt>
                <c:pt idx="87">
                  <c:v>0.381333333333333</c:v>
                </c:pt>
                <c:pt idx="88">
                  <c:v>0.385666666666667</c:v>
                </c:pt>
                <c:pt idx="89">
                  <c:v>0.39</c:v>
                </c:pt>
                <c:pt idx="90">
                  <c:v>0.394333333333333</c:v>
                </c:pt>
                <c:pt idx="91">
                  <c:v>0.398666666666667</c:v>
                </c:pt>
                <c:pt idx="92">
                  <c:v>0.403</c:v>
                </c:pt>
                <c:pt idx="93">
                  <c:v>0.407333333333333</c:v>
                </c:pt>
                <c:pt idx="94">
                  <c:v>0.411666666666667</c:v>
                </c:pt>
                <c:pt idx="95">
                  <c:v>0.416</c:v>
                </c:pt>
                <c:pt idx="96">
                  <c:v>0.420333333333333</c:v>
                </c:pt>
                <c:pt idx="97">
                  <c:v>0.424666666666667</c:v>
                </c:pt>
                <c:pt idx="98">
                  <c:v>0.429</c:v>
                </c:pt>
                <c:pt idx="99">
                  <c:v>0.433333333333333</c:v>
                </c:pt>
                <c:pt idx="100">
                  <c:v>0.437666666666667</c:v>
                </c:pt>
                <c:pt idx="101">
                  <c:v>0.442</c:v>
                </c:pt>
                <c:pt idx="102">
                  <c:v>0.446333333333333</c:v>
                </c:pt>
                <c:pt idx="103">
                  <c:v>0.450666666666667</c:v>
                </c:pt>
                <c:pt idx="104">
                  <c:v>0.455</c:v>
                </c:pt>
                <c:pt idx="105">
                  <c:v>0.459333333333333</c:v>
                </c:pt>
                <c:pt idx="106">
                  <c:v>0.463666666666667</c:v>
                </c:pt>
                <c:pt idx="107">
                  <c:v>0.468</c:v>
                </c:pt>
                <c:pt idx="108">
                  <c:v>0.472333333333333</c:v>
                </c:pt>
                <c:pt idx="109">
                  <c:v>0.476666666666667</c:v>
                </c:pt>
                <c:pt idx="110">
                  <c:v>0.481</c:v>
                </c:pt>
                <c:pt idx="111">
                  <c:v>0.485333333333333</c:v>
                </c:pt>
                <c:pt idx="112">
                  <c:v>0.489666666666667</c:v>
                </c:pt>
                <c:pt idx="113">
                  <c:v>0.494</c:v>
                </c:pt>
                <c:pt idx="114">
                  <c:v>0.498333333333333</c:v>
                </c:pt>
                <c:pt idx="115">
                  <c:v>0.502666666666667</c:v>
                </c:pt>
                <c:pt idx="116">
                  <c:v>0.507</c:v>
                </c:pt>
                <c:pt idx="117">
                  <c:v>0.511333333333333</c:v>
                </c:pt>
                <c:pt idx="118">
                  <c:v>0.515666666666667</c:v>
                </c:pt>
                <c:pt idx="119">
                  <c:v>0.52</c:v>
                </c:pt>
                <c:pt idx="120">
                  <c:v>0.524333333333333</c:v>
                </c:pt>
                <c:pt idx="121">
                  <c:v>0.528666666666667</c:v>
                </c:pt>
                <c:pt idx="122">
                  <c:v>0.533</c:v>
                </c:pt>
                <c:pt idx="123">
                  <c:v>0.537333333333333</c:v>
                </c:pt>
                <c:pt idx="124">
                  <c:v>0.541666666666667</c:v>
                </c:pt>
                <c:pt idx="125">
                  <c:v>0.546</c:v>
                </c:pt>
                <c:pt idx="126">
                  <c:v>0.550333333333333</c:v>
                </c:pt>
                <c:pt idx="127">
                  <c:v>0.554666666666667</c:v>
                </c:pt>
                <c:pt idx="128">
                  <c:v>0.559</c:v>
                </c:pt>
                <c:pt idx="129">
                  <c:v>0.563333333333333</c:v>
                </c:pt>
                <c:pt idx="130">
                  <c:v>0.567666666666667</c:v>
                </c:pt>
                <c:pt idx="131">
                  <c:v>0.572</c:v>
                </c:pt>
                <c:pt idx="132">
                  <c:v>0.576333333333333</c:v>
                </c:pt>
                <c:pt idx="133">
                  <c:v>0.580666666666667</c:v>
                </c:pt>
                <c:pt idx="134">
                  <c:v>0.585</c:v>
                </c:pt>
                <c:pt idx="135">
                  <c:v>0.589333333333333</c:v>
                </c:pt>
                <c:pt idx="136">
                  <c:v>0.593666666666667</c:v>
                </c:pt>
                <c:pt idx="137">
                  <c:v>0.598</c:v>
                </c:pt>
                <c:pt idx="138">
                  <c:v>0.602333333333333</c:v>
                </c:pt>
                <c:pt idx="139">
                  <c:v>0.606666666666667</c:v>
                </c:pt>
                <c:pt idx="140">
                  <c:v>0.611</c:v>
                </c:pt>
                <c:pt idx="141">
                  <c:v>0.615333333333333</c:v>
                </c:pt>
                <c:pt idx="142">
                  <c:v>0.619666666666667</c:v>
                </c:pt>
                <c:pt idx="143">
                  <c:v>0.624</c:v>
                </c:pt>
                <c:pt idx="144">
                  <c:v>0.628333333333333</c:v>
                </c:pt>
                <c:pt idx="145">
                  <c:v>0.632666666666667</c:v>
                </c:pt>
                <c:pt idx="146">
                  <c:v>0.637</c:v>
                </c:pt>
                <c:pt idx="147">
                  <c:v>0.641333333333333</c:v>
                </c:pt>
                <c:pt idx="148">
                  <c:v>0.645666666666667</c:v>
                </c:pt>
                <c:pt idx="149">
                  <c:v>0.65</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Eff_vs_IOUT!$AO$7:$AO$157</c:f>
              <c:numCache>
                <c:formatCode>General</c:formatCode>
                <c:ptCount val="151"/>
                <c:pt idx="0">
                  <c:v>0</c:v>
                </c:pt>
                <c:pt idx="1">
                  <c:v>0.000125609462917944</c:v>
                </c:pt>
                <c:pt idx="2">
                  <c:v>0.000405309948706521</c:v>
                </c:pt>
                <c:pt idx="3">
                  <c:v>0.000820211575005024</c:v>
                </c:pt>
                <c:pt idx="4">
                  <c:v>0.00136635151228512</c:v>
                </c:pt>
                <c:pt idx="5">
                  <c:v>0.0020428947843955</c:v>
                </c:pt>
                <c:pt idx="6">
                  <c:v>0.00285026763518693</c:v>
                </c:pt>
                <c:pt idx="7">
                  <c:v>0.00378952196424117</c:v>
                </c:pt>
                <c:pt idx="8">
                  <c:v>0.00486205597824123</c:v>
                </c:pt>
                <c:pt idx="9">
                  <c:v>0.00606947230370305</c:v>
                </c:pt>
                <c:pt idx="10">
                  <c:v>0.00173959025380523</c:v>
                </c:pt>
                <c:pt idx="11">
                  <c:v>0.00197292358713856</c:v>
                </c:pt>
                <c:pt idx="12">
                  <c:v>0.00222847914269412</c:v>
                </c:pt>
                <c:pt idx="13">
                  <c:v>0.00250625692047189</c:v>
                </c:pt>
                <c:pt idx="14">
                  <c:v>0.00280625692047189</c:v>
                </c:pt>
                <c:pt idx="15">
                  <c:v>0.00312847914269412</c:v>
                </c:pt>
                <c:pt idx="16">
                  <c:v>0.00347292358713856</c:v>
                </c:pt>
                <c:pt idx="17">
                  <c:v>0.00383959025380523</c:v>
                </c:pt>
                <c:pt idx="18">
                  <c:v>0.00422847914269412</c:v>
                </c:pt>
                <c:pt idx="19">
                  <c:v>0.00463959025380523</c:v>
                </c:pt>
                <c:pt idx="20">
                  <c:v>0.00507292358713856</c:v>
                </c:pt>
                <c:pt idx="21">
                  <c:v>0.00552847914269412</c:v>
                </c:pt>
                <c:pt idx="22">
                  <c:v>0.0060062569204719</c:v>
                </c:pt>
                <c:pt idx="23">
                  <c:v>0.00650625692047189</c:v>
                </c:pt>
                <c:pt idx="24">
                  <c:v>0.00702847914269412</c:v>
                </c:pt>
                <c:pt idx="25">
                  <c:v>0.00757292358713856</c:v>
                </c:pt>
                <c:pt idx="26">
                  <c:v>0.00813959025380523</c:v>
                </c:pt>
                <c:pt idx="27">
                  <c:v>0.00872847914269412</c:v>
                </c:pt>
                <c:pt idx="28">
                  <c:v>0.00933959025380523</c:v>
                </c:pt>
                <c:pt idx="29">
                  <c:v>0.00997292358713856</c:v>
                </c:pt>
                <c:pt idx="30">
                  <c:v>0.0106284791426941</c:v>
                </c:pt>
                <c:pt idx="31">
                  <c:v>0.0113062569204719</c:v>
                </c:pt>
                <c:pt idx="32">
                  <c:v>0.0120062569204719</c:v>
                </c:pt>
                <c:pt idx="33">
                  <c:v>0.0127284791426941</c:v>
                </c:pt>
                <c:pt idx="34">
                  <c:v>0.0134729235871386</c:v>
                </c:pt>
                <c:pt idx="35">
                  <c:v>0.0142395902538052</c:v>
                </c:pt>
                <c:pt idx="36">
                  <c:v>0.0150284791426941</c:v>
                </c:pt>
                <c:pt idx="37">
                  <c:v>0.0158395902538052</c:v>
                </c:pt>
                <c:pt idx="38">
                  <c:v>0.0166729235871386</c:v>
                </c:pt>
                <c:pt idx="39">
                  <c:v>0.0175284791426941</c:v>
                </c:pt>
                <c:pt idx="40">
                  <c:v>0.0184062569204719</c:v>
                </c:pt>
                <c:pt idx="41">
                  <c:v>0.0193062569204719</c:v>
                </c:pt>
                <c:pt idx="42">
                  <c:v>0.0202284791426941</c:v>
                </c:pt>
                <c:pt idx="43">
                  <c:v>0.0211729235871386</c:v>
                </c:pt>
                <c:pt idx="44">
                  <c:v>0.0221395902538052</c:v>
                </c:pt>
                <c:pt idx="45">
                  <c:v>0.0231284791426941</c:v>
                </c:pt>
                <c:pt idx="46">
                  <c:v>0.0241395902538052</c:v>
                </c:pt>
                <c:pt idx="47">
                  <c:v>0.0251729235871386</c:v>
                </c:pt>
                <c:pt idx="48">
                  <c:v>0.0262284791426941</c:v>
                </c:pt>
                <c:pt idx="49">
                  <c:v>0.0273062569204719</c:v>
                </c:pt>
                <c:pt idx="50">
                  <c:v>0.0284062569204719</c:v>
                </c:pt>
                <c:pt idx="51">
                  <c:v>0.0295284791426941</c:v>
                </c:pt>
                <c:pt idx="52">
                  <c:v>0.0306729235871386</c:v>
                </c:pt>
                <c:pt idx="53">
                  <c:v>0.0318395902538052</c:v>
                </c:pt>
                <c:pt idx="54">
                  <c:v>0.0330284791426941</c:v>
                </c:pt>
                <c:pt idx="55">
                  <c:v>0.0342395902538052</c:v>
                </c:pt>
                <c:pt idx="56">
                  <c:v>0.0354729235871386</c:v>
                </c:pt>
                <c:pt idx="57">
                  <c:v>0.0367284791426941</c:v>
                </c:pt>
                <c:pt idx="58">
                  <c:v>0.0380062569204719</c:v>
                </c:pt>
                <c:pt idx="59">
                  <c:v>0.0393062569204719</c:v>
                </c:pt>
                <c:pt idx="60">
                  <c:v>0.0406284791426941</c:v>
                </c:pt>
                <c:pt idx="61">
                  <c:v>0.0419729235871386</c:v>
                </c:pt>
                <c:pt idx="62">
                  <c:v>0.0433395902538052</c:v>
                </c:pt>
                <c:pt idx="63">
                  <c:v>0.0447284791426941</c:v>
                </c:pt>
                <c:pt idx="64">
                  <c:v>0.0461395902538052</c:v>
                </c:pt>
                <c:pt idx="65">
                  <c:v>0.0475729235871386</c:v>
                </c:pt>
                <c:pt idx="66">
                  <c:v>0.0490284791426941</c:v>
                </c:pt>
                <c:pt idx="67">
                  <c:v>0.0505062569204719</c:v>
                </c:pt>
                <c:pt idx="68">
                  <c:v>0.0520062569204719</c:v>
                </c:pt>
                <c:pt idx="69">
                  <c:v>0.0535284791426941</c:v>
                </c:pt>
                <c:pt idx="70">
                  <c:v>0.0550729235871386</c:v>
                </c:pt>
                <c:pt idx="71">
                  <c:v>0.0566395902538052</c:v>
                </c:pt>
                <c:pt idx="72">
                  <c:v>0.0582284791426941</c:v>
                </c:pt>
                <c:pt idx="73">
                  <c:v>0.0598395902538052</c:v>
                </c:pt>
                <c:pt idx="74">
                  <c:v>0.0614729235871386</c:v>
                </c:pt>
                <c:pt idx="75">
                  <c:v>0.0631284791426941</c:v>
                </c:pt>
                <c:pt idx="76">
                  <c:v>0.0648062569204719</c:v>
                </c:pt>
                <c:pt idx="77">
                  <c:v>0.0665062569204719</c:v>
                </c:pt>
                <c:pt idx="78">
                  <c:v>0.0682284791426941</c:v>
                </c:pt>
                <c:pt idx="79">
                  <c:v>0.0699729235871386</c:v>
                </c:pt>
                <c:pt idx="80">
                  <c:v>0.0717395902538052</c:v>
                </c:pt>
                <c:pt idx="81">
                  <c:v>0.0735284791426941</c:v>
                </c:pt>
                <c:pt idx="82">
                  <c:v>0.0753395902538053</c:v>
                </c:pt>
                <c:pt idx="83">
                  <c:v>0.0771729235871386</c:v>
                </c:pt>
                <c:pt idx="84">
                  <c:v>0.0790284791426941</c:v>
                </c:pt>
                <c:pt idx="85">
                  <c:v>0.0809062569204719</c:v>
                </c:pt>
                <c:pt idx="86">
                  <c:v>0.0828062569204719</c:v>
                </c:pt>
                <c:pt idx="87">
                  <c:v>0.0847284791426941</c:v>
                </c:pt>
                <c:pt idx="88">
                  <c:v>0.0866729235871386</c:v>
                </c:pt>
                <c:pt idx="89">
                  <c:v>0.0886395902538052</c:v>
                </c:pt>
                <c:pt idx="90">
                  <c:v>0.0906284791426942</c:v>
                </c:pt>
                <c:pt idx="91">
                  <c:v>0.0926395902538052</c:v>
                </c:pt>
                <c:pt idx="92">
                  <c:v>0.0946729235871386</c:v>
                </c:pt>
                <c:pt idx="93">
                  <c:v>0.0967284791426941</c:v>
                </c:pt>
                <c:pt idx="94">
                  <c:v>0.0988062569204719</c:v>
                </c:pt>
                <c:pt idx="95">
                  <c:v>0.100906256920472</c:v>
                </c:pt>
                <c:pt idx="96">
                  <c:v>0.103028479142694</c:v>
                </c:pt>
                <c:pt idx="97">
                  <c:v>0.105172923587139</c:v>
                </c:pt>
                <c:pt idx="98">
                  <c:v>0.107339590253805</c:v>
                </c:pt>
                <c:pt idx="99">
                  <c:v>0.109528479142694</c:v>
                </c:pt>
                <c:pt idx="100">
                  <c:v>0.111739590253805</c:v>
                </c:pt>
                <c:pt idx="101">
                  <c:v>0.113972923587139</c:v>
                </c:pt>
                <c:pt idx="102">
                  <c:v>0.116228479142694</c:v>
                </c:pt>
                <c:pt idx="103">
                  <c:v>0.118506256920472</c:v>
                </c:pt>
                <c:pt idx="104">
                  <c:v>0.120806256920472</c:v>
                </c:pt>
                <c:pt idx="105">
                  <c:v>0.123128479142694</c:v>
                </c:pt>
                <c:pt idx="106">
                  <c:v>0.125472923587139</c:v>
                </c:pt>
                <c:pt idx="107">
                  <c:v>0.127839590253805</c:v>
                </c:pt>
                <c:pt idx="108">
                  <c:v>0.130228479142694</c:v>
                </c:pt>
                <c:pt idx="109">
                  <c:v>0.132639590253805</c:v>
                </c:pt>
                <c:pt idx="110">
                  <c:v>0.135072923587139</c:v>
                </c:pt>
                <c:pt idx="111">
                  <c:v>0.137528479142694</c:v>
                </c:pt>
                <c:pt idx="112">
                  <c:v>0.140006256920472</c:v>
                </c:pt>
                <c:pt idx="113">
                  <c:v>0.142506256920472</c:v>
                </c:pt>
                <c:pt idx="114">
                  <c:v>0.145028479142694</c:v>
                </c:pt>
                <c:pt idx="115">
                  <c:v>0.147572923587139</c:v>
                </c:pt>
                <c:pt idx="116">
                  <c:v>0.150139590253805</c:v>
                </c:pt>
                <c:pt idx="117">
                  <c:v>0.152728479142694</c:v>
                </c:pt>
                <c:pt idx="118">
                  <c:v>0.155339590253805</c:v>
                </c:pt>
                <c:pt idx="119">
                  <c:v>0.157972923587139</c:v>
                </c:pt>
                <c:pt idx="120">
                  <c:v>0.160628479142694</c:v>
                </c:pt>
                <c:pt idx="121">
                  <c:v>0.163306256920472</c:v>
                </c:pt>
                <c:pt idx="122">
                  <c:v>0.166006256920472</c:v>
                </c:pt>
                <c:pt idx="123">
                  <c:v>0.168728479142694</c:v>
                </c:pt>
                <c:pt idx="124">
                  <c:v>0.171472923587139</c:v>
                </c:pt>
                <c:pt idx="125">
                  <c:v>0.174239590253805</c:v>
                </c:pt>
                <c:pt idx="126">
                  <c:v>0.177028479142694</c:v>
                </c:pt>
                <c:pt idx="127">
                  <c:v>0.179839590253805</c:v>
                </c:pt>
                <c:pt idx="128">
                  <c:v>0.182672923587139</c:v>
                </c:pt>
                <c:pt idx="129">
                  <c:v>0.185528479142694</c:v>
                </c:pt>
                <c:pt idx="130">
                  <c:v>0.188406256920472</c:v>
                </c:pt>
                <c:pt idx="131">
                  <c:v>0.191306256920472</c:v>
                </c:pt>
                <c:pt idx="132">
                  <c:v>0.194228479142694</c:v>
                </c:pt>
                <c:pt idx="133">
                  <c:v>0.197172923587139</c:v>
                </c:pt>
                <c:pt idx="134">
                  <c:v>0.200139590253805</c:v>
                </c:pt>
                <c:pt idx="135">
                  <c:v>0.203128479142694</c:v>
                </c:pt>
                <c:pt idx="136">
                  <c:v>0.206139590253805</c:v>
                </c:pt>
                <c:pt idx="137">
                  <c:v>0.209172923587139</c:v>
                </c:pt>
                <c:pt idx="138">
                  <c:v>0.212228479142694</c:v>
                </c:pt>
                <c:pt idx="139">
                  <c:v>0.215306256920472</c:v>
                </c:pt>
                <c:pt idx="140">
                  <c:v>0.218406256920472</c:v>
                </c:pt>
                <c:pt idx="141">
                  <c:v>0.221528479142694</c:v>
                </c:pt>
                <c:pt idx="142">
                  <c:v>0.224672923587139</c:v>
                </c:pt>
                <c:pt idx="143">
                  <c:v>0.227839590253805</c:v>
                </c:pt>
                <c:pt idx="144">
                  <c:v>0.231028479142694</c:v>
                </c:pt>
                <c:pt idx="145">
                  <c:v>0.234239590253805</c:v>
                </c:pt>
                <c:pt idx="146">
                  <c:v>0.237472923587139</c:v>
                </c:pt>
                <c:pt idx="147">
                  <c:v>0.240728479142694</c:v>
                </c:pt>
                <c:pt idx="148">
                  <c:v>0.244006256920472</c:v>
                </c:pt>
                <c:pt idx="149">
                  <c:v>0.247306256920472</c:v>
                </c:pt>
                <c:pt idx="150">
                  <c:v>0.250628479142694</c:v>
                </c:pt>
              </c:numCache>
            </c:numRef>
          </c:yVal>
          <c:smooth val="1"/>
        </c:ser>
        <c:dLbls>
          <c:showLegendKey val="0"/>
          <c:showVal val="0"/>
          <c:showCatName val="0"/>
          <c:showSerName val="0"/>
          <c:showPercent val="0"/>
          <c:showBubbleSize val="0"/>
        </c:dLbls>
        <c:axId val="174879488"/>
        <c:axId val="174877312"/>
      </c:scatterChart>
      <c:valAx>
        <c:axId val="174861312"/>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5392"/>
        <c:crosses val="autoZero"/>
        <c:crossBetween val="midCat"/>
      </c:valAx>
      <c:valAx>
        <c:axId val="174875392"/>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61312"/>
        <c:crosses val="autoZero"/>
        <c:crossBetween val="midCat"/>
      </c:valAx>
      <c:valAx>
        <c:axId val="174879488"/>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7312"/>
        <c:crosses val="autoZero"/>
        <c:crossBetween val="midCat"/>
      </c:valAx>
      <c:valAx>
        <c:axId val="174877312"/>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4879488"/>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2cd760a-0aef-445a-9430-01ae95e28fab}"/>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Efficiency</a:t>
            </a:r>
            <a:endParaRPr lang="en-US"/>
          </a:p>
        </c:rich>
      </c:tx>
      <c:layout/>
      <c:overlay val="0"/>
    </c:title>
    <c:autoTitleDeleted val="0"/>
    <c:plotArea>
      <c:layout/>
      <c:scatterChart>
        <c:scatterStyle val="smooth"/>
        <c:varyColors val="0"/>
        <c:ser>
          <c:idx val="0"/>
          <c:order val="0"/>
          <c:tx>
            <c:strRef>
              <c:f>"Eff"</c:f>
              <c:strCache>
                <c:ptCount val="1"/>
                <c:pt idx="0">
                  <c:v>Eff</c:v>
                </c:pt>
              </c:strCache>
            </c:strRef>
          </c:tx>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Eff_vs_IOUT!$AT$7:$AT$157</c:f>
              <c:numCache>
                <c:formatCode>General</c:formatCode>
                <c:ptCount val="151"/>
                <c:pt idx="0">
                  <c:v>0</c:v>
                </c:pt>
                <c:pt idx="1">
                  <c:v>57.8075466800246</c:v>
                </c:pt>
                <c:pt idx="2">
                  <c:v>71.5334726861206</c:v>
                </c:pt>
                <c:pt idx="3">
                  <c:v>77.6440562609289</c:v>
                </c:pt>
                <c:pt idx="4">
                  <c:v>81.0783653150573</c:v>
                </c:pt>
                <c:pt idx="5">
                  <c:v>83.2636592917007</c:v>
                </c:pt>
                <c:pt idx="6">
                  <c:v>84.7654199108757</c:v>
                </c:pt>
                <c:pt idx="7">
                  <c:v>85.8524337773122</c:v>
                </c:pt>
                <c:pt idx="8">
                  <c:v>86.6688008347972</c:v>
                </c:pt>
                <c:pt idx="9">
                  <c:v>87.2987163205759</c:v>
                </c:pt>
                <c:pt idx="10">
                  <c:v>88.4056991549997</c:v>
                </c:pt>
                <c:pt idx="11">
                  <c:v>88.8755266436023</c:v>
                </c:pt>
                <c:pt idx="12">
                  <c:v>89.2688335703066</c:v>
                </c:pt>
                <c:pt idx="13">
                  <c:v>89.6024566299636</c:v>
                </c:pt>
                <c:pt idx="14">
                  <c:v>89.888630852144</c:v>
                </c:pt>
                <c:pt idx="15">
                  <c:v>90.1364611632707</c:v>
                </c:pt>
                <c:pt idx="16">
                  <c:v>90.3528631877295</c:v>
                </c:pt>
                <c:pt idx="17">
                  <c:v>90.5431839634538</c:v>
                </c:pt>
                <c:pt idx="18">
                  <c:v>90.7116228060443</c:v>
                </c:pt>
                <c:pt idx="19">
                  <c:v>90.8615235686007</c:v>
                </c:pt>
                <c:pt idx="20">
                  <c:v>90.995581922981</c:v>
                </c:pt>
                <c:pt idx="21">
                  <c:v>91.1159951568968</c:v>
                </c:pt>
                <c:pt idx="22">
                  <c:v>91.2245722639014</c:v>
                </c:pt>
                <c:pt idx="23">
                  <c:v>91.3228160862094</c:v>
                </c:pt>
                <c:pt idx="24">
                  <c:v>91.4119854513964</c:v>
                </c:pt>
                <c:pt idx="25">
                  <c:v>91.4931427658674</c:v>
                </c:pt>
                <c:pt idx="26">
                  <c:v>91.5671908871874</c:v>
                </c:pt>
                <c:pt idx="27">
                  <c:v>91.6349019909286</c:v>
                </c:pt>
                <c:pt idx="28">
                  <c:v>91.6969403890032</c:v>
                </c:pt>
                <c:pt idx="29">
                  <c:v>91.7538807281686</c:v>
                </c:pt>
                <c:pt idx="30">
                  <c:v>91.8062226243114</c:v>
                </c:pt>
                <c:pt idx="31">
                  <c:v>91.8544025211705</c:v>
                </c:pt>
                <c:pt idx="32">
                  <c:v>91.8988033688344</c:v>
                </c:pt>
                <c:pt idx="33">
                  <c:v>91.9397625757506</c:v>
                </c:pt>
                <c:pt idx="34">
                  <c:v>91.977578583178</c:v>
                </c:pt>
                <c:pt idx="35">
                  <c:v>92.0125163326848</c:v>
                </c:pt>
                <c:pt idx="36">
                  <c:v>92.0448118381985</c:v>
                </c:pt>
                <c:pt idx="37">
                  <c:v>92.0746760291575</c:v>
                </c:pt>
                <c:pt idx="38">
                  <c:v>92.1022979968285</c:v>
                </c:pt>
                <c:pt idx="39">
                  <c:v>92.1278477491947</c:v>
                </c:pt>
                <c:pt idx="40">
                  <c:v>92.1514785590727</c:v>
                </c:pt>
                <c:pt idx="41">
                  <c:v>92.1733289738443</c:v>
                </c:pt>
                <c:pt idx="42">
                  <c:v>92.1935245423636</c:v>
                </c:pt>
                <c:pt idx="43">
                  <c:v>92.2121793044072</c:v>
                </c:pt>
                <c:pt idx="44">
                  <c:v>92.2293970799092</c:v>
                </c:pt>
                <c:pt idx="45">
                  <c:v>92.2452725886911</c:v>
                </c:pt>
                <c:pt idx="46">
                  <c:v>92.2598924261297</c:v>
                </c:pt>
                <c:pt idx="47">
                  <c:v>92.2733359159325</c:v>
                </c:pt>
                <c:pt idx="48">
                  <c:v>92.2856758577089</c:v>
                </c:pt>
                <c:pt idx="49">
                  <c:v>92.2969791841738</c:v>
                </c:pt>
                <c:pt idx="50">
                  <c:v>92.3073075404758</c:v>
                </c:pt>
                <c:pt idx="51">
                  <c:v>92.3167177962084</c:v>
                </c:pt>
                <c:pt idx="52">
                  <c:v>92.3252624990553</c:v>
                </c:pt>
                <c:pt idx="53">
                  <c:v>92.3329902776887</c:v>
                </c:pt>
                <c:pt idx="54">
                  <c:v>92.3399462004209</c:v>
                </c:pt>
                <c:pt idx="55">
                  <c:v>92.3461720951779</c:v>
                </c:pt>
                <c:pt idx="56">
                  <c:v>92.3517068355738</c:v>
                </c:pt>
                <c:pt idx="57">
                  <c:v>92.3565865972048</c:v>
                </c:pt>
                <c:pt idx="58">
                  <c:v>92.3608450877168</c:v>
                </c:pt>
                <c:pt idx="59">
                  <c:v>92.3645137537256</c:v>
                </c:pt>
                <c:pt idx="60">
                  <c:v>92.3676219672624</c:v>
                </c:pt>
                <c:pt idx="61">
                  <c:v>92.3701971940683</c:v>
                </c:pt>
                <c:pt idx="62">
                  <c:v>92.3722651457692</c:v>
                </c:pt>
                <c:pt idx="63">
                  <c:v>92.3738499177004</c:v>
                </c:pt>
                <c:pt idx="64">
                  <c:v>92.3749741139389</c:v>
                </c:pt>
                <c:pt idx="65">
                  <c:v>92.3756589609051</c:v>
                </c:pt>
                <c:pt idx="66">
                  <c:v>92.3759244107357</c:v>
                </c:pt>
                <c:pt idx="67">
                  <c:v>92.3757892354867</c:v>
                </c:pt>
                <c:pt idx="68">
                  <c:v>92.3752711131002</c:v>
                </c:pt>
                <c:pt idx="69">
                  <c:v>92.3743867059653</c:v>
                </c:pt>
                <c:pt idx="70">
                  <c:v>92.3731517328055</c:v>
                </c:pt>
                <c:pt idx="71">
                  <c:v>92.3715810345437</c:v>
                </c:pt>
                <c:pt idx="72">
                  <c:v>92.3696886347285</c:v>
                </c:pt>
                <c:pt idx="73">
                  <c:v>92.3674877950353</c:v>
                </c:pt>
                <c:pt idx="74">
                  <c:v>92.3649910663062</c:v>
                </c:pt>
                <c:pt idx="75">
                  <c:v>92.3622103355408</c:v>
                </c:pt>
                <c:pt idx="76">
                  <c:v>92.3591568692082</c:v>
                </c:pt>
                <c:pt idx="77">
                  <c:v>92.3558413532113</c:v>
                </c:pt>
                <c:pt idx="78">
                  <c:v>92.3522739298024</c:v>
                </c:pt>
                <c:pt idx="79">
                  <c:v>92.3484642317164</c:v>
                </c:pt>
                <c:pt idx="80">
                  <c:v>92.3444214137655</c:v>
                </c:pt>
                <c:pt idx="81">
                  <c:v>92.3401541821102</c:v>
                </c:pt>
                <c:pt idx="82">
                  <c:v>92.3356708214069</c:v>
                </c:pt>
                <c:pt idx="83">
                  <c:v>92.3309792200059</c:v>
                </c:pt>
                <c:pt idx="84">
                  <c:v>92.3260868933648</c:v>
                </c:pt>
                <c:pt idx="85">
                  <c:v>92.3210010058202</c:v>
                </c:pt>
                <c:pt idx="86">
                  <c:v>92.3157283908521</c:v>
                </c:pt>
                <c:pt idx="87">
                  <c:v>92.3102755699613</c:v>
                </c:pt>
                <c:pt idx="88">
                  <c:v>92.304648770268</c:v>
                </c:pt>
                <c:pt idx="89">
                  <c:v>92.2988539409329</c:v>
                </c:pt>
                <c:pt idx="90">
                  <c:v>92.2928967684915</c:v>
                </c:pt>
                <c:pt idx="91">
                  <c:v>92.286782691184</c:v>
                </c:pt>
                <c:pt idx="92">
                  <c:v>92.2805169123568</c:v>
                </c:pt>
                <c:pt idx="93">
                  <c:v>92.274104413006</c:v>
                </c:pt>
                <c:pt idx="94">
                  <c:v>92.2675499635247</c:v>
                </c:pt>
                <c:pt idx="95">
                  <c:v>92.2608581347144</c:v>
                </c:pt>
                <c:pt idx="96">
                  <c:v>92.2540333081115</c:v>
                </c:pt>
                <c:pt idx="97">
                  <c:v>92.2470796856803</c:v>
                </c:pt>
                <c:pt idx="98">
                  <c:v>92.2400012989154</c:v>
                </c:pt>
                <c:pt idx="99">
                  <c:v>92.2328020173967</c:v>
                </c:pt>
                <c:pt idx="100">
                  <c:v>92.2254855568342</c:v>
                </c:pt>
                <c:pt idx="101">
                  <c:v>92.2180554866376</c:v>
                </c:pt>
                <c:pt idx="102">
                  <c:v>92.2105152370433</c:v>
                </c:pt>
                <c:pt idx="103">
                  <c:v>92.2028681058295</c:v>
                </c:pt>
                <c:pt idx="104">
                  <c:v>92.1951172646453</c:v>
                </c:pt>
                <c:pt idx="105">
                  <c:v>92.1872657649811</c:v>
                </c:pt>
                <c:pt idx="106">
                  <c:v>92.1793165438027</c:v>
                </c:pt>
                <c:pt idx="107">
                  <c:v>92.171272428871</c:v>
                </c:pt>
                <c:pt idx="108">
                  <c:v>92.1631361437689</c:v>
                </c:pt>
                <c:pt idx="109">
                  <c:v>92.1549103126518</c:v>
                </c:pt>
                <c:pt idx="110">
                  <c:v>92.1465974647416</c:v>
                </c:pt>
                <c:pt idx="111">
                  <c:v>92.1382000385784</c:v>
                </c:pt>
                <c:pt idx="112">
                  <c:v>92.1297203860463</c:v>
                </c:pt>
                <c:pt idx="113">
                  <c:v>92.1211607761858</c:v>
                </c:pt>
                <c:pt idx="114">
                  <c:v>92.112523398808</c:v>
                </c:pt>
                <c:pt idx="115">
                  <c:v>92.1038103679197</c:v>
                </c:pt>
                <c:pt idx="116">
                  <c:v>92.0950237249735</c:v>
                </c:pt>
                <c:pt idx="117">
                  <c:v>92.0861654419515</c:v>
                </c:pt>
                <c:pt idx="118">
                  <c:v>92.0772374242934</c:v>
                </c:pt>
                <c:pt idx="119">
                  <c:v>92.0682415136775</c:v>
                </c:pt>
                <c:pt idx="120">
                  <c:v>92.0591794906635</c:v>
                </c:pt>
                <c:pt idx="121">
                  <c:v>92.0500530772049</c:v>
                </c:pt>
                <c:pt idx="122">
                  <c:v>92.0408639390384</c:v>
                </c:pt>
                <c:pt idx="123">
                  <c:v>92.0316136879576</c:v>
                </c:pt>
                <c:pt idx="124">
                  <c:v>92.022303883977</c:v>
                </c:pt>
                <c:pt idx="125">
                  <c:v>92.0129360373926</c:v>
                </c:pt>
                <c:pt idx="126">
                  <c:v>92.0035116107453</c:v>
                </c:pt>
                <c:pt idx="127">
                  <c:v>91.9940320206912</c:v>
                </c:pt>
                <c:pt idx="128">
                  <c:v>91.9844986397858</c:v>
                </c:pt>
                <c:pt idx="129">
                  <c:v>91.9749127981843</c:v>
                </c:pt>
                <c:pt idx="130">
                  <c:v>91.9652757852652</c:v>
                </c:pt>
                <c:pt idx="131">
                  <c:v>91.9555888511786</c:v>
                </c:pt>
                <c:pt idx="132">
                  <c:v>91.9458532083252</c:v>
                </c:pt>
                <c:pt idx="133">
                  <c:v>91.936070032769</c:v>
                </c:pt>
                <c:pt idx="134">
                  <c:v>91.9262404655863</c:v>
                </c:pt>
                <c:pt idx="135">
                  <c:v>91.9163656141561</c:v>
                </c:pt>
                <c:pt idx="136">
                  <c:v>91.9064465533927</c:v>
                </c:pt>
                <c:pt idx="137">
                  <c:v>91.8964843269253</c:v>
                </c:pt>
                <c:pt idx="138">
                  <c:v>91.8864799482267</c:v>
                </c:pt>
                <c:pt idx="139">
                  <c:v>91.8764344016924</c:v>
                </c:pt>
                <c:pt idx="140">
                  <c:v>91.8663486436752</c:v>
                </c:pt>
                <c:pt idx="141">
                  <c:v>91.8562236034747</c:v>
                </c:pt>
                <c:pt idx="142">
                  <c:v>91.8460601842859</c:v>
                </c:pt>
                <c:pt idx="143">
                  <c:v>91.8358592641077</c:v>
                </c:pt>
                <c:pt idx="144">
                  <c:v>91.8256216966144</c:v>
                </c:pt>
                <c:pt idx="145">
                  <c:v>91.8153483119903</c:v>
                </c:pt>
                <c:pt idx="146">
                  <c:v>91.805039917731</c:v>
                </c:pt>
                <c:pt idx="147">
                  <c:v>91.7946972994119</c:v>
                </c:pt>
                <c:pt idx="148">
                  <c:v>91.7843212214255</c:v>
                </c:pt>
                <c:pt idx="149">
                  <c:v>91.7739124276892</c:v>
                </c:pt>
                <c:pt idx="150">
                  <c:v>91.763471642325</c:v>
                </c:pt>
              </c:numCache>
            </c:numRef>
          </c:yVal>
          <c:smooth val="0"/>
        </c:ser>
        <c:dLbls>
          <c:showLegendKey val="0"/>
          <c:showVal val="0"/>
          <c:showCatName val="0"/>
          <c:showSerName val="0"/>
          <c:showPercent val="0"/>
          <c:showBubbleSize val="0"/>
        </c:dLbls>
        <c:axId val="175638784"/>
        <c:axId val="175648768"/>
      </c:scatterChart>
      <c:scatterChart>
        <c:scatterStyle val="smooth"/>
        <c:varyColors val="0"/>
        <c:ser>
          <c:idx val="1"/>
          <c:order val="1"/>
          <c:tx>
            <c:strRef>
              <c:f>"MOSFET"</c:f>
              <c:strCache>
                <c:ptCount val="1"/>
                <c:pt idx="0">
                  <c:v>MOSFET</c:v>
                </c:pt>
              </c:strCache>
            </c:strRef>
          </c:tx>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Eff_vs_IOUT!$AI$7:$AI$157</c:f>
              <c:numCache>
                <c:formatCode>General</c:formatCode>
                <c:ptCount val="151"/>
                <c:pt idx="0">
                  <c:v>0</c:v>
                </c:pt>
                <c:pt idx="1">
                  <c:v>0.00405811640715088</c:v>
                </c:pt>
                <c:pt idx="2">
                  <c:v>0.00824721018374181</c:v>
                </c:pt>
                <c:pt idx="3">
                  <c:v>0.0125512249297662</c:v>
                </c:pt>
                <c:pt idx="4">
                  <c:v>0.0169667922401249</c:v>
                </c:pt>
                <c:pt idx="5">
                  <c:v>0.0214932023850893</c:v>
                </c:pt>
                <c:pt idx="6">
                  <c:v>0.0261308176719327</c:v>
                </c:pt>
                <c:pt idx="7">
                  <c:v>0.0308805322152994</c:v>
                </c:pt>
                <c:pt idx="8">
                  <c:v>0.0357435344908701</c:v>
                </c:pt>
                <c:pt idx="9">
                  <c:v>0.0407211867311833</c:v>
                </c:pt>
                <c:pt idx="10">
                  <c:v>0.0409921353524408</c:v>
                </c:pt>
                <c:pt idx="11">
                  <c:v>0.0451418170494447</c:v>
                </c:pt>
                <c:pt idx="12">
                  <c:v>0.0493103876353376</c:v>
                </c:pt>
                <c:pt idx="13">
                  <c:v>0.0534978471101193</c:v>
                </c:pt>
                <c:pt idx="14">
                  <c:v>0.05770419547379</c:v>
                </c:pt>
                <c:pt idx="15">
                  <c:v>0.0619294327263495</c:v>
                </c:pt>
                <c:pt idx="16">
                  <c:v>0.0661735588677979</c:v>
                </c:pt>
                <c:pt idx="17">
                  <c:v>0.0704365738981352</c:v>
                </c:pt>
                <c:pt idx="18">
                  <c:v>0.0747184778173614</c:v>
                </c:pt>
                <c:pt idx="19">
                  <c:v>0.0790192706254765</c:v>
                </c:pt>
                <c:pt idx="20">
                  <c:v>0.0833389523224804</c:v>
                </c:pt>
                <c:pt idx="21">
                  <c:v>0.0876775229083733</c:v>
                </c:pt>
                <c:pt idx="22">
                  <c:v>0.092034982383155</c:v>
                </c:pt>
                <c:pt idx="23">
                  <c:v>0.0964113307468257</c:v>
                </c:pt>
                <c:pt idx="24">
                  <c:v>0.100806567999385</c:v>
                </c:pt>
                <c:pt idx="25">
                  <c:v>0.105220694140834</c:v>
                </c:pt>
                <c:pt idx="26">
                  <c:v>0.109653709171171</c:v>
                </c:pt>
                <c:pt idx="27">
                  <c:v>0.114105613090397</c:v>
                </c:pt>
                <c:pt idx="28">
                  <c:v>0.118576405898512</c:v>
                </c:pt>
                <c:pt idx="29">
                  <c:v>0.123066087595516</c:v>
                </c:pt>
                <c:pt idx="30">
                  <c:v>0.127574658181409</c:v>
                </c:pt>
                <c:pt idx="31">
                  <c:v>0.132102117656191</c:v>
                </c:pt>
                <c:pt idx="32">
                  <c:v>0.136648466019861</c:v>
                </c:pt>
                <c:pt idx="33">
                  <c:v>0.141213703272421</c:v>
                </c:pt>
                <c:pt idx="34">
                  <c:v>0.145797829413869</c:v>
                </c:pt>
                <c:pt idx="35">
                  <c:v>0.150400844444207</c:v>
                </c:pt>
                <c:pt idx="36">
                  <c:v>0.155022748363433</c:v>
                </c:pt>
                <c:pt idx="37">
                  <c:v>0.159663541171548</c:v>
                </c:pt>
                <c:pt idx="38">
                  <c:v>0.164323222868552</c:v>
                </c:pt>
                <c:pt idx="39">
                  <c:v>0.169001793454445</c:v>
                </c:pt>
                <c:pt idx="40">
                  <c:v>0.173699252929226</c:v>
                </c:pt>
                <c:pt idx="41">
                  <c:v>0.178415601292897</c:v>
                </c:pt>
                <c:pt idx="42">
                  <c:v>0.183150838545457</c:v>
                </c:pt>
                <c:pt idx="43">
                  <c:v>0.187904964686905</c:v>
                </c:pt>
                <c:pt idx="44">
                  <c:v>0.192677979717242</c:v>
                </c:pt>
                <c:pt idx="45">
                  <c:v>0.197469883636468</c:v>
                </c:pt>
                <c:pt idx="46">
                  <c:v>0.202280676444584</c:v>
                </c:pt>
                <c:pt idx="47">
                  <c:v>0.207110358141588</c:v>
                </c:pt>
                <c:pt idx="48">
                  <c:v>0.21195892872748</c:v>
                </c:pt>
                <c:pt idx="49">
                  <c:v>0.216826388202262</c:v>
                </c:pt>
                <c:pt idx="50">
                  <c:v>0.221712736565933</c:v>
                </c:pt>
                <c:pt idx="51">
                  <c:v>0.226617973818492</c:v>
                </c:pt>
                <c:pt idx="52">
                  <c:v>0.231542099959941</c:v>
                </c:pt>
                <c:pt idx="53">
                  <c:v>0.236485114990278</c:v>
                </c:pt>
                <c:pt idx="54">
                  <c:v>0.241447018909504</c:v>
                </c:pt>
                <c:pt idx="55">
                  <c:v>0.246427811717619</c:v>
                </c:pt>
                <c:pt idx="56">
                  <c:v>0.251427493414623</c:v>
                </c:pt>
                <c:pt idx="57">
                  <c:v>0.256446064000516</c:v>
                </c:pt>
                <c:pt idx="58">
                  <c:v>0.261483523475298</c:v>
                </c:pt>
                <c:pt idx="59">
                  <c:v>0.266539871838968</c:v>
                </c:pt>
                <c:pt idx="60">
                  <c:v>0.271615109091528</c:v>
                </c:pt>
                <c:pt idx="61">
                  <c:v>0.276709235232976</c:v>
                </c:pt>
                <c:pt idx="62">
                  <c:v>0.281822250263314</c:v>
                </c:pt>
                <c:pt idx="63">
                  <c:v>0.28695415418254</c:v>
                </c:pt>
                <c:pt idx="64">
                  <c:v>0.292104946990655</c:v>
                </c:pt>
                <c:pt idx="65">
                  <c:v>0.297274628687659</c:v>
                </c:pt>
                <c:pt idx="66">
                  <c:v>0.302463199273552</c:v>
                </c:pt>
                <c:pt idx="67">
                  <c:v>0.307670658748334</c:v>
                </c:pt>
                <c:pt idx="68">
                  <c:v>0.312897007112004</c:v>
                </c:pt>
                <c:pt idx="69">
                  <c:v>0.318142244364564</c:v>
                </c:pt>
                <c:pt idx="70">
                  <c:v>0.323406370506012</c:v>
                </c:pt>
                <c:pt idx="71">
                  <c:v>0.328689385536349</c:v>
                </c:pt>
                <c:pt idx="72">
                  <c:v>0.333991289455576</c:v>
                </c:pt>
                <c:pt idx="73">
                  <c:v>0.339312082263691</c:v>
                </c:pt>
                <c:pt idx="74">
                  <c:v>0.344651763960695</c:v>
                </c:pt>
                <c:pt idx="75">
                  <c:v>0.350010334546587</c:v>
                </c:pt>
                <c:pt idx="76">
                  <c:v>0.355387794021369</c:v>
                </c:pt>
                <c:pt idx="77">
                  <c:v>0.36078414238504</c:v>
                </c:pt>
                <c:pt idx="78">
                  <c:v>0.366199379637599</c:v>
                </c:pt>
                <c:pt idx="79">
                  <c:v>0.371633505779048</c:v>
                </c:pt>
                <c:pt idx="80">
                  <c:v>0.377086520809385</c:v>
                </c:pt>
                <c:pt idx="81">
                  <c:v>0.382558424728611</c:v>
                </c:pt>
                <c:pt idx="82">
                  <c:v>0.388049217536726</c:v>
                </c:pt>
                <c:pt idx="83">
                  <c:v>0.39355889923373</c:v>
                </c:pt>
                <c:pt idx="84">
                  <c:v>0.399087469819623</c:v>
                </c:pt>
                <c:pt idx="85">
                  <c:v>0.404634929294405</c:v>
                </c:pt>
                <c:pt idx="86">
                  <c:v>0.410201277658075</c:v>
                </c:pt>
                <c:pt idx="87">
                  <c:v>0.415786514910635</c:v>
                </c:pt>
                <c:pt idx="88">
                  <c:v>0.421390641052083</c:v>
                </c:pt>
                <c:pt idx="89">
                  <c:v>0.427013656082421</c:v>
                </c:pt>
                <c:pt idx="90">
                  <c:v>0.432655560001647</c:v>
                </c:pt>
                <c:pt idx="91">
                  <c:v>0.438316352809762</c:v>
                </c:pt>
                <c:pt idx="92">
                  <c:v>0.443996034506766</c:v>
                </c:pt>
                <c:pt idx="93">
                  <c:v>0.449694605092659</c:v>
                </c:pt>
                <c:pt idx="94">
                  <c:v>0.455412064567441</c:v>
                </c:pt>
                <c:pt idx="95">
                  <c:v>0.461148412931111</c:v>
                </c:pt>
                <c:pt idx="96">
                  <c:v>0.466903650183671</c:v>
                </c:pt>
                <c:pt idx="97">
                  <c:v>0.472677776325119</c:v>
                </c:pt>
                <c:pt idx="98">
                  <c:v>0.478470791355456</c:v>
                </c:pt>
                <c:pt idx="99">
                  <c:v>0.484282695274683</c:v>
                </c:pt>
                <c:pt idx="100">
                  <c:v>0.490113488082798</c:v>
                </c:pt>
                <c:pt idx="101">
                  <c:v>0.495963169779802</c:v>
                </c:pt>
                <c:pt idx="102">
                  <c:v>0.501831740365695</c:v>
                </c:pt>
                <c:pt idx="103">
                  <c:v>0.507719199840476</c:v>
                </c:pt>
                <c:pt idx="104">
                  <c:v>0.513625548204147</c:v>
                </c:pt>
                <c:pt idx="105">
                  <c:v>0.519550785456707</c:v>
                </c:pt>
                <c:pt idx="106">
                  <c:v>0.525494911598155</c:v>
                </c:pt>
                <c:pt idx="107">
                  <c:v>0.531457926628492</c:v>
                </c:pt>
                <c:pt idx="108">
                  <c:v>0.537439830547718</c:v>
                </c:pt>
                <c:pt idx="109">
                  <c:v>0.543440623355833</c:v>
                </c:pt>
                <c:pt idx="110">
                  <c:v>0.549460305052837</c:v>
                </c:pt>
                <c:pt idx="111">
                  <c:v>0.55549887563873</c:v>
                </c:pt>
                <c:pt idx="112">
                  <c:v>0.561556335113512</c:v>
                </c:pt>
                <c:pt idx="113">
                  <c:v>0.567632683477183</c:v>
                </c:pt>
                <c:pt idx="114">
                  <c:v>0.573727920729742</c:v>
                </c:pt>
                <c:pt idx="115">
                  <c:v>0.57984204687119</c:v>
                </c:pt>
                <c:pt idx="116">
                  <c:v>0.585975061901528</c:v>
                </c:pt>
                <c:pt idx="117">
                  <c:v>0.592126965820754</c:v>
                </c:pt>
                <c:pt idx="118">
                  <c:v>0.598297758628869</c:v>
                </c:pt>
                <c:pt idx="119">
                  <c:v>0.604487440325873</c:v>
                </c:pt>
                <c:pt idx="120">
                  <c:v>0.610696010911766</c:v>
                </c:pt>
                <c:pt idx="121">
                  <c:v>0.616923470386548</c:v>
                </c:pt>
                <c:pt idx="122">
                  <c:v>0.623169818750218</c:v>
                </c:pt>
                <c:pt idx="123">
                  <c:v>0.629435056002778</c:v>
                </c:pt>
                <c:pt idx="124">
                  <c:v>0.635719182144226</c:v>
                </c:pt>
                <c:pt idx="125">
                  <c:v>0.642022197174564</c:v>
                </c:pt>
                <c:pt idx="126">
                  <c:v>0.64834410109379</c:v>
                </c:pt>
                <c:pt idx="127">
                  <c:v>0.654684893901905</c:v>
                </c:pt>
                <c:pt idx="128">
                  <c:v>0.661044575598909</c:v>
                </c:pt>
                <c:pt idx="129">
                  <c:v>0.667423146184802</c:v>
                </c:pt>
                <c:pt idx="130">
                  <c:v>0.673820605659583</c:v>
                </c:pt>
                <c:pt idx="131">
                  <c:v>0.680236954023254</c:v>
                </c:pt>
                <c:pt idx="132">
                  <c:v>0.686672191275814</c:v>
                </c:pt>
                <c:pt idx="133">
                  <c:v>0.693126317417262</c:v>
                </c:pt>
                <c:pt idx="134">
                  <c:v>0.699599332447599</c:v>
                </c:pt>
                <c:pt idx="135">
                  <c:v>0.706091236366825</c:v>
                </c:pt>
                <c:pt idx="136">
                  <c:v>0.71260202917494</c:v>
                </c:pt>
                <c:pt idx="137">
                  <c:v>0.719131710871944</c:v>
                </c:pt>
                <c:pt idx="138">
                  <c:v>0.725680281457837</c:v>
                </c:pt>
                <c:pt idx="139">
                  <c:v>0.732247740932619</c:v>
                </c:pt>
                <c:pt idx="140">
                  <c:v>0.73883408929629</c:v>
                </c:pt>
                <c:pt idx="141">
                  <c:v>0.745439326548849</c:v>
                </c:pt>
                <c:pt idx="142">
                  <c:v>0.752063452690298</c:v>
                </c:pt>
                <c:pt idx="143">
                  <c:v>0.758706467720635</c:v>
                </c:pt>
                <c:pt idx="144">
                  <c:v>0.765368371639861</c:v>
                </c:pt>
                <c:pt idx="145">
                  <c:v>0.772049164447976</c:v>
                </c:pt>
                <c:pt idx="146">
                  <c:v>0.77874884614498</c:v>
                </c:pt>
                <c:pt idx="147">
                  <c:v>0.785467416730873</c:v>
                </c:pt>
                <c:pt idx="148">
                  <c:v>0.792204876205655</c:v>
                </c:pt>
                <c:pt idx="149">
                  <c:v>0.798961224569325</c:v>
                </c:pt>
                <c:pt idx="150">
                  <c:v>0.805736461821885</c:v>
                </c:pt>
              </c:numCache>
            </c:numRef>
          </c:yVal>
          <c:smooth val="1"/>
        </c:ser>
        <c:ser>
          <c:idx val="2"/>
          <c:order val="2"/>
          <c:tx>
            <c:strRef>
              <c:f>"Diode"</c:f>
              <c:strCache>
                <c:ptCount val="1"/>
                <c:pt idx="0">
                  <c:v>Diode</c:v>
                </c:pt>
              </c:strCache>
            </c:strRef>
          </c:tx>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Eff_vs_IOUT!$AN$7:$AN$157</c:f>
              <c:numCache>
                <c:formatCode>General</c:formatCode>
                <c:ptCount val="151"/>
                <c:pt idx="0">
                  <c:v>0</c:v>
                </c:pt>
                <c:pt idx="1">
                  <c:v>0.00433333333333333</c:v>
                </c:pt>
                <c:pt idx="2">
                  <c:v>0.00866666666666667</c:v>
                </c:pt>
                <c:pt idx="3">
                  <c:v>0.013</c:v>
                </c:pt>
                <c:pt idx="4">
                  <c:v>0.0173333333333333</c:v>
                </c:pt>
                <c:pt idx="5">
                  <c:v>0.0216666666666667</c:v>
                </c:pt>
                <c:pt idx="6">
                  <c:v>0.026</c:v>
                </c:pt>
                <c:pt idx="7">
                  <c:v>0.0303333333333333</c:v>
                </c:pt>
                <c:pt idx="8">
                  <c:v>0.0346666666666667</c:v>
                </c:pt>
                <c:pt idx="9">
                  <c:v>0.039</c:v>
                </c:pt>
                <c:pt idx="10">
                  <c:v>0.0433333333333333</c:v>
                </c:pt>
                <c:pt idx="11">
                  <c:v>0.0476666666666667</c:v>
                </c:pt>
                <c:pt idx="12">
                  <c:v>0.052</c:v>
                </c:pt>
                <c:pt idx="13">
                  <c:v>0.0563333333333333</c:v>
                </c:pt>
                <c:pt idx="14">
                  <c:v>0.0606666666666667</c:v>
                </c:pt>
                <c:pt idx="15">
                  <c:v>0.065</c:v>
                </c:pt>
                <c:pt idx="16">
                  <c:v>0.0693333333333333</c:v>
                </c:pt>
                <c:pt idx="17">
                  <c:v>0.0736666666666667</c:v>
                </c:pt>
                <c:pt idx="18">
                  <c:v>0.078</c:v>
                </c:pt>
                <c:pt idx="19">
                  <c:v>0.0823333333333333</c:v>
                </c:pt>
                <c:pt idx="20">
                  <c:v>0.0866666666666667</c:v>
                </c:pt>
                <c:pt idx="21">
                  <c:v>0.091</c:v>
                </c:pt>
                <c:pt idx="22">
                  <c:v>0.0953333333333333</c:v>
                </c:pt>
                <c:pt idx="23">
                  <c:v>0.0996666666666667</c:v>
                </c:pt>
                <c:pt idx="24">
                  <c:v>0.104</c:v>
                </c:pt>
                <c:pt idx="25">
                  <c:v>0.108333333333333</c:v>
                </c:pt>
                <c:pt idx="26">
                  <c:v>0.112666666666667</c:v>
                </c:pt>
                <c:pt idx="27">
                  <c:v>0.117</c:v>
                </c:pt>
                <c:pt idx="28">
                  <c:v>0.121333333333333</c:v>
                </c:pt>
                <c:pt idx="29">
                  <c:v>0.125666666666667</c:v>
                </c:pt>
                <c:pt idx="30">
                  <c:v>0.13</c:v>
                </c:pt>
                <c:pt idx="31">
                  <c:v>0.134333333333333</c:v>
                </c:pt>
                <c:pt idx="32">
                  <c:v>0.138666666666667</c:v>
                </c:pt>
                <c:pt idx="33">
                  <c:v>0.143</c:v>
                </c:pt>
                <c:pt idx="34">
                  <c:v>0.147333333333333</c:v>
                </c:pt>
                <c:pt idx="35">
                  <c:v>0.151666666666667</c:v>
                </c:pt>
                <c:pt idx="36">
                  <c:v>0.156</c:v>
                </c:pt>
                <c:pt idx="37">
                  <c:v>0.160333333333333</c:v>
                </c:pt>
                <c:pt idx="38">
                  <c:v>0.164666666666667</c:v>
                </c:pt>
                <c:pt idx="39">
                  <c:v>0.169</c:v>
                </c:pt>
                <c:pt idx="40">
                  <c:v>0.173333333333333</c:v>
                </c:pt>
                <c:pt idx="41">
                  <c:v>0.177666666666667</c:v>
                </c:pt>
                <c:pt idx="42">
                  <c:v>0.182</c:v>
                </c:pt>
                <c:pt idx="43">
                  <c:v>0.186333333333333</c:v>
                </c:pt>
                <c:pt idx="44">
                  <c:v>0.190666666666667</c:v>
                </c:pt>
                <c:pt idx="45">
                  <c:v>0.195</c:v>
                </c:pt>
                <c:pt idx="46">
                  <c:v>0.199333333333333</c:v>
                </c:pt>
                <c:pt idx="47">
                  <c:v>0.203666666666667</c:v>
                </c:pt>
                <c:pt idx="48">
                  <c:v>0.208</c:v>
                </c:pt>
                <c:pt idx="49">
                  <c:v>0.212333333333333</c:v>
                </c:pt>
                <c:pt idx="50">
                  <c:v>0.216666666666667</c:v>
                </c:pt>
                <c:pt idx="51">
                  <c:v>0.221</c:v>
                </c:pt>
                <c:pt idx="52">
                  <c:v>0.225333333333333</c:v>
                </c:pt>
                <c:pt idx="53">
                  <c:v>0.229666666666667</c:v>
                </c:pt>
                <c:pt idx="54">
                  <c:v>0.234</c:v>
                </c:pt>
                <c:pt idx="55">
                  <c:v>0.238333333333333</c:v>
                </c:pt>
                <c:pt idx="56">
                  <c:v>0.242666666666667</c:v>
                </c:pt>
                <c:pt idx="57">
                  <c:v>0.247</c:v>
                </c:pt>
                <c:pt idx="58">
                  <c:v>0.251333333333333</c:v>
                </c:pt>
                <c:pt idx="59">
                  <c:v>0.255666666666667</c:v>
                </c:pt>
                <c:pt idx="60">
                  <c:v>0.26</c:v>
                </c:pt>
                <c:pt idx="61">
                  <c:v>0.264333333333333</c:v>
                </c:pt>
                <c:pt idx="62">
                  <c:v>0.268666666666667</c:v>
                </c:pt>
                <c:pt idx="63">
                  <c:v>0.273</c:v>
                </c:pt>
                <c:pt idx="64">
                  <c:v>0.277333333333333</c:v>
                </c:pt>
                <c:pt idx="65">
                  <c:v>0.281666666666667</c:v>
                </c:pt>
                <c:pt idx="66">
                  <c:v>0.286</c:v>
                </c:pt>
                <c:pt idx="67">
                  <c:v>0.290333333333333</c:v>
                </c:pt>
                <c:pt idx="68">
                  <c:v>0.294666666666667</c:v>
                </c:pt>
                <c:pt idx="69">
                  <c:v>0.299</c:v>
                </c:pt>
                <c:pt idx="70">
                  <c:v>0.303333333333333</c:v>
                </c:pt>
                <c:pt idx="71">
                  <c:v>0.307666666666667</c:v>
                </c:pt>
                <c:pt idx="72">
                  <c:v>0.312</c:v>
                </c:pt>
                <c:pt idx="73">
                  <c:v>0.316333333333333</c:v>
                </c:pt>
                <c:pt idx="74">
                  <c:v>0.320666666666667</c:v>
                </c:pt>
                <c:pt idx="75">
                  <c:v>0.325</c:v>
                </c:pt>
                <c:pt idx="76">
                  <c:v>0.329333333333333</c:v>
                </c:pt>
                <c:pt idx="77">
                  <c:v>0.333666666666667</c:v>
                </c:pt>
                <c:pt idx="78">
                  <c:v>0.338</c:v>
                </c:pt>
                <c:pt idx="79">
                  <c:v>0.342333333333333</c:v>
                </c:pt>
                <c:pt idx="80">
                  <c:v>0.346666666666667</c:v>
                </c:pt>
                <c:pt idx="81">
                  <c:v>0.351</c:v>
                </c:pt>
                <c:pt idx="82">
                  <c:v>0.355333333333333</c:v>
                </c:pt>
                <c:pt idx="83">
                  <c:v>0.359666666666667</c:v>
                </c:pt>
                <c:pt idx="84">
                  <c:v>0.364</c:v>
                </c:pt>
                <c:pt idx="85">
                  <c:v>0.368333333333333</c:v>
                </c:pt>
                <c:pt idx="86">
                  <c:v>0.372666666666667</c:v>
                </c:pt>
                <c:pt idx="87">
                  <c:v>0.377</c:v>
                </c:pt>
                <c:pt idx="88">
                  <c:v>0.381333333333333</c:v>
                </c:pt>
                <c:pt idx="89">
                  <c:v>0.385666666666667</c:v>
                </c:pt>
                <c:pt idx="90">
                  <c:v>0.39</c:v>
                </c:pt>
                <c:pt idx="91">
                  <c:v>0.394333333333333</c:v>
                </c:pt>
                <c:pt idx="92">
                  <c:v>0.398666666666667</c:v>
                </c:pt>
                <c:pt idx="93">
                  <c:v>0.403</c:v>
                </c:pt>
                <c:pt idx="94">
                  <c:v>0.407333333333333</c:v>
                </c:pt>
                <c:pt idx="95">
                  <c:v>0.411666666666667</c:v>
                </c:pt>
                <c:pt idx="96">
                  <c:v>0.416</c:v>
                </c:pt>
                <c:pt idx="97">
                  <c:v>0.420333333333333</c:v>
                </c:pt>
                <c:pt idx="98">
                  <c:v>0.424666666666667</c:v>
                </c:pt>
                <c:pt idx="99">
                  <c:v>0.429</c:v>
                </c:pt>
                <c:pt idx="100">
                  <c:v>0.433333333333333</c:v>
                </c:pt>
                <c:pt idx="101">
                  <c:v>0.437666666666667</c:v>
                </c:pt>
                <c:pt idx="102">
                  <c:v>0.442</c:v>
                </c:pt>
                <c:pt idx="103">
                  <c:v>0.446333333333333</c:v>
                </c:pt>
                <c:pt idx="104">
                  <c:v>0.450666666666667</c:v>
                </c:pt>
                <c:pt idx="105">
                  <c:v>0.455</c:v>
                </c:pt>
                <c:pt idx="106">
                  <c:v>0.459333333333333</c:v>
                </c:pt>
                <c:pt idx="107">
                  <c:v>0.463666666666667</c:v>
                </c:pt>
                <c:pt idx="108">
                  <c:v>0.468</c:v>
                </c:pt>
                <c:pt idx="109">
                  <c:v>0.472333333333333</c:v>
                </c:pt>
                <c:pt idx="110">
                  <c:v>0.476666666666667</c:v>
                </c:pt>
                <c:pt idx="111">
                  <c:v>0.481</c:v>
                </c:pt>
                <c:pt idx="112">
                  <c:v>0.485333333333333</c:v>
                </c:pt>
                <c:pt idx="113">
                  <c:v>0.489666666666667</c:v>
                </c:pt>
                <c:pt idx="114">
                  <c:v>0.494</c:v>
                </c:pt>
                <c:pt idx="115">
                  <c:v>0.498333333333333</c:v>
                </c:pt>
                <c:pt idx="116">
                  <c:v>0.502666666666667</c:v>
                </c:pt>
                <c:pt idx="117">
                  <c:v>0.507</c:v>
                </c:pt>
                <c:pt idx="118">
                  <c:v>0.511333333333333</c:v>
                </c:pt>
                <c:pt idx="119">
                  <c:v>0.515666666666667</c:v>
                </c:pt>
                <c:pt idx="120">
                  <c:v>0.52</c:v>
                </c:pt>
                <c:pt idx="121">
                  <c:v>0.524333333333333</c:v>
                </c:pt>
                <c:pt idx="122">
                  <c:v>0.528666666666667</c:v>
                </c:pt>
                <c:pt idx="123">
                  <c:v>0.533</c:v>
                </c:pt>
                <c:pt idx="124">
                  <c:v>0.537333333333333</c:v>
                </c:pt>
                <c:pt idx="125">
                  <c:v>0.541666666666667</c:v>
                </c:pt>
                <c:pt idx="126">
                  <c:v>0.546</c:v>
                </c:pt>
                <c:pt idx="127">
                  <c:v>0.550333333333333</c:v>
                </c:pt>
                <c:pt idx="128">
                  <c:v>0.554666666666667</c:v>
                </c:pt>
                <c:pt idx="129">
                  <c:v>0.559</c:v>
                </c:pt>
                <c:pt idx="130">
                  <c:v>0.563333333333333</c:v>
                </c:pt>
                <c:pt idx="131">
                  <c:v>0.567666666666667</c:v>
                </c:pt>
                <c:pt idx="132">
                  <c:v>0.572</c:v>
                </c:pt>
                <c:pt idx="133">
                  <c:v>0.576333333333333</c:v>
                </c:pt>
                <c:pt idx="134">
                  <c:v>0.580666666666667</c:v>
                </c:pt>
                <c:pt idx="135">
                  <c:v>0.585</c:v>
                </c:pt>
                <c:pt idx="136">
                  <c:v>0.589333333333333</c:v>
                </c:pt>
                <c:pt idx="137">
                  <c:v>0.593666666666667</c:v>
                </c:pt>
                <c:pt idx="138">
                  <c:v>0.598</c:v>
                </c:pt>
                <c:pt idx="139">
                  <c:v>0.602333333333333</c:v>
                </c:pt>
                <c:pt idx="140">
                  <c:v>0.606666666666667</c:v>
                </c:pt>
                <c:pt idx="141">
                  <c:v>0.611</c:v>
                </c:pt>
                <c:pt idx="142">
                  <c:v>0.615333333333333</c:v>
                </c:pt>
                <c:pt idx="143">
                  <c:v>0.619666666666667</c:v>
                </c:pt>
                <c:pt idx="144">
                  <c:v>0.624</c:v>
                </c:pt>
                <c:pt idx="145">
                  <c:v>0.628333333333333</c:v>
                </c:pt>
                <c:pt idx="146">
                  <c:v>0.632666666666667</c:v>
                </c:pt>
                <c:pt idx="147">
                  <c:v>0.637</c:v>
                </c:pt>
                <c:pt idx="148">
                  <c:v>0.641333333333333</c:v>
                </c:pt>
                <c:pt idx="149">
                  <c:v>0.645666666666667</c:v>
                </c:pt>
                <c:pt idx="150">
                  <c:v>0.65</c:v>
                </c:pt>
              </c:numCache>
            </c:numRef>
          </c:yVal>
          <c:smooth val="1"/>
        </c:ser>
        <c:ser>
          <c:idx val="3"/>
          <c:order val="3"/>
          <c:tx>
            <c:strRef>
              <c:f>"RCS"</c:f>
              <c:strCache>
                <c:ptCount val="1"/>
                <c:pt idx="0">
                  <c:v>RCS</c:v>
                </c:pt>
              </c:strCache>
            </c:strRef>
          </c:tx>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Eff_vs_IOUT!$AO$7:$AO$157</c:f>
              <c:numCache>
                <c:formatCode>General</c:formatCode>
                <c:ptCount val="151"/>
                <c:pt idx="0">
                  <c:v>0</c:v>
                </c:pt>
                <c:pt idx="1">
                  <c:v>0.000125609462917944</c:v>
                </c:pt>
                <c:pt idx="2">
                  <c:v>0.000405309948706521</c:v>
                </c:pt>
                <c:pt idx="3">
                  <c:v>0.000820211575005024</c:v>
                </c:pt>
                <c:pt idx="4">
                  <c:v>0.00136635151228512</c:v>
                </c:pt>
                <c:pt idx="5">
                  <c:v>0.0020428947843955</c:v>
                </c:pt>
                <c:pt idx="6">
                  <c:v>0.00285026763518693</c:v>
                </c:pt>
                <c:pt idx="7">
                  <c:v>0.00378952196424117</c:v>
                </c:pt>
                <c:pt idx="8">
                  <c:v>0.00486205597824123</c:v>
                </c:pt>
                <c:pt idx="9">
                  <c:v>0.00606947230370305</c:v>
                </c:pt>
                <c:pt idx="10">
                  <c:v>0.00173959025380523</c:v>
                </c:pt>
                <c:pt idx="11">
                  <c:v>0.00197292358713856</c:v>
                </c:pt>
                <c:pt idx="12">
                  <c:v>0.00222847914269412</c:v>
                </c:pt>
                <c:pt idx="13">
                  <c:v>0.00250625692047189</c:v>
                </c:pt>
                <c:pt idx="14">
                  <c:v>0.00280625692047189</c:v>
                </c:pt>
                <c:pt idx="15">
                  <c:v>0.00312847914269412</c:v>
                </c:pt>
                <c:pt idx="16">
                  <c:v>0.00347292358713856</c:v>
                </c:pt>
                <c:pt idx="17">
                  <c:v>0.00383959025380523</c:v>
                </c:pt>
                <c:pt idx="18">
                  <c:v>0.00422847914269412</c:v>
                </c:pt>
                <c:pt idx="19">
                  <c:v>0.00463959025380523</c:v>
                </c:pt>
                <c:pt idx="20">
                  <c:v>0.00507292358713856</c:v>
                </c:pt>
                <c:pt idx="21">
                  <c:v>0.00552847914269412</c:v>
                </c:pt>
                <c:pt idx="22">
                  <c:v>0.0060062569204719</c:v>
                </c:pt>
                <c:pt idx="23">
                  <c:v>0.00650625692047189</c:v>
                </c:pt>
                <c:pt idx="24">
                  <c:v>0.00702847914269412</c:v>
                </c:pt>
                <c:pt idx="25">
                  <c:v>0.00757292358713856</c:v>
                </c:pt>
                <c:pt idx="26">
                  <c:v>0.00813959025380523</c:v>
                </c:pt>
                <c:pt idx="27">
                  <c:v>0.00872847914269412</c:v>
                </c:pt>
                <c:pt idx="28">
                  <c:v>0.00933959025380523</c:v>
                </c:pt>
                <c:pt idx="29">
                  <c:v>0.00997292358713856</c:v>
                </c:pt>
                <c:pt idx="30">
                  <c:v>0.0106284791426941</c:v>
                </c:pt>
                <c:pt idx="31">
                  <c:v>0.0113062569204719</c:v>
                </c:pt>
                <c:pt idx="32">
                  <c:v>0.0120062569204719</c:v>
                </c:pt>
                <c:pt idx="33">
                  <c:v>0.0127284791426941</c:v>
                </c:pt>
                <c:pt idx="34">
                  <c:v>0.0134729235871386</c:v>
                </c:pt>
                <c:pt idx="35">
                  <c:v>0.0142395902538052</c:v>
                </c:pt>
                <c:pt idx="36">
                  <c:v>0.0150284791426941</c:v>
                </c:pt>
                <c:pt idx="37">
                  <c:v>0.0158395902538052</c:v>
                </c:pt>
                <c:pt idx="38">
                  <c:v>0.0166729235871386</c:v>
                </c:pt>
                <c:pt idx="39">
                  <c:v>0.0175284791426941</c:v>
                </c:pt>
                <c:pt idx="40">
                  <c:v>0.0184062569204719</c:v>
                </c:pt>
                <c:pt idx="41">
                  <c:v>0.0193062569204719</c:v>
                </c:pt>
                <c:pt idx="42">
                  <c:v>0.0202284791426941</c:v>
                </c:pt>
                <c:pt idx="43">
                  <c:v>0.0211729235871386</c:v>
                </c:pt>
                <c:pt idx="44">
                  <c:v>0.0221395902538052</c:v>
                </c:pt>
                <c:pt idx="45">
                  <c:v>0.0231284791426941</c:v>
                </c:pt>
                <c:pt idx="46">
                  <c:v>0.0241395902538052</c:v>
                </c:pt>
                <c:pt idx="47">
                  <c:v>0.0251729235871386</c:v>
                </c:pt>
                <c:pt idx="48">
                  <c:v>0.0262284791426941</c:v>
                </c:pt>
                <c:pt idx="49">
                  <c:v>0.0273062569204719</c:v>
                </c:pt>
                <c:pt idx="50">
                  <c:v>0.0284062569204719</c:v>
                </c:pt>
                <c:pt idx="51">
                  <c:v>0.0295284791426941</c:v>
                </c:pt>
                <c:pt idx="52">
                  <c:v>0.0306729235871386</c:v>
                </c:pt>
                <c:pt idx="53">
                  <c:v>0.0318395902538052</c:v>
                </c:pt>
                <c:pt idx="54">
                  <c:v>0.0330284791426941</c:v>
                </c:pt>
                <c:pt idx="55">
                  <c:v>0.0342395902538052</c:v>
                </c:pt>
                <c:pt idx="56">
                  <c:v>0.0354729235871386</c:v>
                </c:pt>
                <c:pt idx="57">
                  <c:v>0.0367284791426941</c:v>
                </c:pt>
                <c:pt idx="58">
                  <c:v>0.0380062569204719</c:v>
                </c:pt>
                <c:pt idx="59">
                  <c:v>0.0393062569204719</c:v>
                </c:pt>
                <c:pt idx="60">
                  <c:v>0.0406284791426941</c:v>
                </c:pt>
                <c:pt idx="61">
                  <c:v>0.0419729235871386</c:v>
                </c:pt>
                <c:pt idx="62">
                  <c:v>0.0433395902538052</c:v>
                </c:pt>
                <c:pt idx="63">
                  <c:v>0.0447284791426941</c:v>
                </c:pt>
                <c:pt idx="64">
                  <c:v>0.0461395902538052</c:v>
                </c:pt>
                <c:pt idx="65">
                  <c:v>0.0475729235871386</c:v>
                </c:pt>
                <c:pt idx="66">
                  <c:v>0.0490284791426941</c:v>
                </c:pt>
                <c:pt idx="67">
                  <c:v>0.0505062569204719</c:v>
                </c:pt>
                <c:pt idx="68">
                  <c:v>0.0520062569204719</c:v>
                </c:pt>
                <c:pt idx="69">
                  <c:v>0.0535284791426941</c:v>
                </c:pt>
                <c:pt idx="70">
                  <c:v>0.0550729235871386</c:v>
                </c:pt>
                <c:pt idx="71">
                  <c:v>0.0566395902538052</c:v>
                </c:pt>
                <c:pt idx="72">
                  <c:v>0.0582284791426941</c:v>
                </c:pt>
                <c:pt idx="73">
                  <c:v>0.0598395902538052</c:v>
                </c:pt>
                <c:pt idx="74">
                  <c:v>0.0614729235871386</c:v>
                </c:pt>
                <c:pt idx="75">
                  <c:v>0.0631284791426941</c:v>
                </c:pt>
                <c:pt idx="76">
                  <c:v>0.0648062569204719</c:v>
                </c:pt>
                <c:pt idx="77">
                  <c:v>0.0665062569204719</c:v>
                </c:pt>
                <c:pt idx="78">
                  <c:v>0.0682284791426941</c:v>
                </c:pt>
                <c:pt idx="79">
                  <c:v>0.0699729235871386</c:v>
                </c:pt>
                <c:pt idx="80">
                  <c:v>0.0717395902538052</c:v>
                </c:pt>
                <c:pt idx="81">
                  <c:v>0.0735284791426941</c:v>
                </c:pt>
                <c:pt idx="82">
                  <c:v>0.0753395902538053</c:v>
                </c:pt>
                <c:pt idx="83">
                  <c:v>0.0771729235871386</c:v>
                </c:pt>
                <c:pt idx="84">
                  <c:v>0.0790284791426941</c:v>
                </c:pt>
                <c:pt idx="85">
                  <c:v>0.0809062569204719</c:v>
                </c:pt>
                <c:pt idx="86">
                  <c:v>0.0828062569204719</c:v>
                </c:pt>
                <c:pt idx="87">
                  <c:v>0.0847284791426941</c:v>
                </c:pt>
                <c:pt idx="88">
                  <c:v>0.0866729235871386</c:v>
                </c:pt>
                <c:pt idx="89">
                  <c:v>0.0886395902538052</c:v>
                </c:pt>
                <c:pt idx="90">
                  <c:v>0.0906284791426942</c:v>
                </c:pt>
                <c:pt idx="91">
                  <c:v>0.0926395902538052</c:v>
                </c:pt>
                <c:pt idx="92">
                  <c:v>0.0946729235871386</c:v>
                </c:pt>
                <c:pt idx="93">
                  <c:v>0.0967284791426941</c:v>
                </c:pt>
                <c:pt idx="94">
                  <c:v>0.0988062569204719</c:v>
                </c:pt>
                <c:pt idx="95">
                  <c:v>0.100906256920472</c:v>
                </c:pt>
                <c:pt idx="96">
                  <c:v>0.103028479142694</c:v>
                </c:pt>
                <c:pt idx="97">
                  <c:v>0.105172923587139</c:v>
                </c:pt>
                <c:pt idx="98">
                  <c:v>0.107339590253805</c:v>
                </c:pt>
                <c:pt idx="99">
                  <c:v>0.109528479142694</c:v>
                </c:pt>
                <c:pt idx="100">
                  <c:v>0.111739590253805</c:v>
                </c:pt>
                <c:pt idx="101">
                  <c:v>0.113972923587139</c:v>
                </c:pt>
                <c:pt idx="102">
                  <c:v>0.116228479142694</c:v>
                </c:pt>
                <c:pt idx="103">
                  <c:v>0.118506256920472</c:v>
                </c:pt>
                <c:pt idx="104">
                  <c:v>0.120806256920472</c:v>
                </c:pt>
                <c:pt idx="105">
                  <c:v>0.123128479142694</c:v>
                </c:pt>
                <c:pt idx="106">
                  <c:v>0.125472923587139</c:v>
                </c:pt>
                <c:pt idx="107">
                  <c:v>0.127839590253805</c:v>
                </c:pt>
                <c:pt idx="108">
                  <c:v>0.130228479142694</c:v>
                </c:pt>
                <c:pt idx="109">
                  <c:v>0.132639590253805</c:v>
                </c:pt>
                <c:pt idx="110">
                  <c:v>0.135072923587139</c:v>
                </c:pt>
                <c:pt idx="111">
                  <c:v>0.137528479142694</c:v>
                </c:pt>
                <c:pt idx="112">
                  <c:v>0.140006256920472</c:v>
                </c:pt>
                <c:pt idx="113">
                  <c:v>0.142506256920472</c:v>
                </c:pt>
                <c:pt idx="114">
                  <c:v>0.145028479142694</c:v>
                </c:pt>
                <c:pt idx="115">
                  <c:v>0.147572923587139</c:v>
                </c:pt>
                <c:pt idx="116">
                  <c:v>0.150139590253805</c:v>
                </c:pt>
                <c:pt idx="117">
                  <c:v>0.152728479142694</c:v>
                </c:pt>
                <c:pt idx="118">
                  <c:v>0.155339590253805</c:v>
                </c:pt>
                <c:pt idx="119">
                  <c:v>0.157972923587139</c:v>
                </c:pt>
                <c:pt idx="120">
                  <c:v>0.160628479142694</c:v>
                </c:pt>
                <c:pt idx="121">
                  <c:v>0.163306256920472</c:v>
                </c:pt>
                <c:pt idx="122">
                  <c:v>0.166006256920472</c:v>
                </c:pt>
                <c:pt idx="123">
                  <c:v>0.168728479142694</c:v>
                </c:pt>
                <c:pt idx="124">
                  <c:v>0.171472923587139</c:v>
                </c:pt>
                <c:pt idx="125">
                  <c:v>0.174239590253805</c:v>
                </c:pt>
                <c:pt idx="126">
                  <c:v>0.177028479142694</c:v>
                </c:pt>
                <c:pt idx="127">
                  <c:v>0.179839590253805</c:v>
                </c:pt>
                <c:pt idx="128">
                  <c:v>0.182672923587139</c:v>
                </c:pt>
                <c:pt idx="129">
                  <c:v>0.185528479142694</c:v>
                </c:pt>
                <c:pt idx="130">
                  <c:v>0.188406256920472</c:v>
                </c:pt>
                <c:pt idx="131">
                  <c:v>0.191306256920472</c:v>
                </c:pt>
                <c:pt idx="132">
                  <c:v>0.194228479142694</c:v>
                </c:pt>
                <c:pt idx="133">
                  <c:v>0.197172923587139</c:v>
                </c:pt>
                <c:pt idx="134">
                  <c:v>0.200139590253805</c:v>
                </c:pt>
                <c:pt idx="135">
                  <c:v>0.203128479142694</c:v>
                </c:pt>
                <c:pt idx="136">
                  <c:v>0.206139590253805</c:v>
                </c:pt>
                <c:pt idx="137">
                  <c:v>0.209172923587139</c:v>
                </c:pt>
                <c:pt idx="138">
                  <c:v>0.212228479142694</c:v>
                </c:pt>
                <c:pt idx="139">
                  <c:v>0.215306256920472</c:v>
                </c:pt>
                <c:pt idx="140">
                  <c:v>0.218406256920472</c:v>
                </c:pt>
                <c:pt idx="141">
                  <c:v>0.221528479142694</c:v>
                </c:pt>
                <c:pt idx="142">
                  <c:v>0.224672923587139</c:v>
                </c:pt>
                <c:pt idx="143">
                  <c:v>0.227839590253805</c:v>
                </c:pt>
                <c:pt idx="144">
                  <c:v>0.231028479142694</c:v>
                </c:pt>
                <c:pt idx="145">
                  <c:v>0.234239590253805</c:v>
                </c:pt>
                <c:pt idx="146">
                  <c:v>0.237472923587139</c:v>
                </c:pt>
                <c:pt idx="147">
                  <c:v>0.240728479142694</c:v>
                </c:pt>
                <c:pt idx="148">
                  <c:v>0.244006256920472</c:v>
                </c:pt>
                <c:pt idx="149">
                  <c:v>0.247306256920472</c:v>
                </c:pt>
                <c:pt idx="150">
                  <c:v>0.250628479142694</c:v>
                </c:pt>
              </c:numCache>
            </c:numRef>
          </c:yVal>
          <c:smooth val="1"/>
        </c:ser>
        <c:dLbls>
          <c:showLegendKey val="0"/>
          <c:showVal val="0"/>
          <c:showCatName val="0"/>
          <c:showSerName val="0"/>
          <c:showPercent val="0"/>
          <c:showBubbleSize val="0"/>
        </c:dLbls>
        <c:axId val="175652224"/>
        <c:axId val="175650688"/>
      </c:scatterChart>
      <c:valAx>
        <c:axId val="175638784"/>
        <c:scaling>
          <c:orientation val="minMax"/>
          <c:max val="6"/>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48768"/>
        <c:crosses val="autoZero"/>
        <c:crossBetween val="midCat"/>
      </c:valAx>
      <c:valAx>
        <c:axId val="175648768"/>
        <c:scaling>
          <c:orientation val="minMax"/>
          <c:max val="100"/>
          <c:min val="60"/>
        </c:scaling>
        <c:delete val="0"/>
        <c:axPos val="l"/>
        <c:majorGridlines/>
        <c:title>
          <c:layout/>
          <c:overlay val="0"/>
          <c:txPr>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p>
          </c:txPr>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38784"/>
        <c:crosses val="autoZero"/>
        <c:crossBetween val="midCat"/>
      </c:valAx>
      <c:valAx>
        <c:axId val="175652224"/>
        <c:scaling>
          <c:orientation val="minMax"/>
        </c:scaling>
        <c:delete val="1"/>
        <c:axPos val="b"/>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0688"/>
        <c:crosses val="autoZero"/>
        <c:crossBetween val="midCat"/>
      </c:valAx>
      <c:valAx>
        <c:axId val="175650688"/>
        <c:scaling>
          <c:orientation val="minMax"/>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652224"/>
        <c:crosses val="max"/>
        <c:crossBetween val="midCat"/>
      </c:valAx>
    </c:plotArea>
    <c:legend>
      <c:legendPos val="r"/>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f6eea4e-b311-416f-b1dc-ac8101a9df17}"/>
      </c:ext>
    </c:extLst>
  </c:chart>
  <c:txPr>
    <a:bodyPr/>
    <a:lstStyle/>
    <a:p>
      <a:pPr>
        <a:defRPr lang="pl-PL"/>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CCM Plant Transfer</a:t>
            </a:r>
            <a:r>
              <a:rPr lang="en-US" baseline="0"/>
              <a:t> Function</a:t>
            </a:r>
            <a:endParaRPr lang="en-US"/>
          </a:p>
        </c:rich>
      </c:tx>
      <c:layout/>
      <c:overlay val="0"/>
    </c:title>
    <c:autoTitleDeleted val="0"/>
    <c:plotArea>
      <c:layout/>
      <c:scatterChart>
        <c:scatterStyle val="smooth"/>
        <c:varyColors val="0"/>
        <c:ser>
          <c:idx val="0"/>
          <c:order val="0"/>
          <c:tx>
            <c:strRef>
              <c:f>"Gain(dB)"</c:f>
              <c:strCache>
                <c:ptCount val="1"/>
                <c:pt idx="0">
                  <c:v>Gain(dB)</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Loop_Modeling!$AD$19:$AD$560</c:f>
              <c:numCache>
                <c:formatCode>0.000</c:formatCode>
                <c:ptCount val="542"/>
                <c:pt idx="0">
                  <c:v>37.4535975729689</c:v>
                </c:pt>
                <c:pt idx="1">
                  <c:v>37.451365788543</c:v>
                </c:pt>
                <c:pt idx="2">
                  <c:v>37.4490300522285</c:v>
                </c:pt>
                <c:pt idx="3">
                  <c:v>37.4465855820336</c:v>
                </c:pt>
                <c:pt idx="4">
                  <c:v>37.4440273816842</c:v>
                </c:pt>
                <c:pt idx="5">
                  <c:v>37.4413502315645</c:v>
                </c:pt>
                <c:pt idx="6">
                  <c:v>37.4385486793255</c:v>
                </c:pt>
                <c:pt idx="7">
                  <c:v>37.4356170301555</c:v>
                </c:pt>
                <c:pt idx="8">
                  <c:v>37.4325493367053</c:v>
                </c:pt>
                <c:pt idx="9">
                  <c:v>37.4293393886638</c:v>
                </c:pt>
                <c:pt idx="10">
                  <c:v>37.4259807019751</c:v>
                </c:pt>
                <c:pt idx="11">
                  <c:v>37.4224665076958</c:v>
                </c:pt>
                <c:pt idx="12">
                  <c:v>37.4187897404861</c:v>
                </c:pt>
                <c:pt idx="13">
                  <c:v>37.4149430267322</c:v>
                </c:pt>
                <c:pt idx="14">
                  <c:v>37.4109186722981</c:v>
                </c:pt>
                <c:pt idx="15">
                  <c:v>37.4067086499047</c:v>
                </c:pt>
                <c:pt idx="16">
                  <c:v>37.4023045861375</c:v>
                </c:pt>
                <c:pt idx="17">
                  <c:v>37.3976977480843</c:v>
                </c:pt>
                <c:pt idx="18">
                  <c:v>37.3928790296046</c:v>
                </c:pt>
                <c:pt idx="19">
                  <c:v>37.3878389372386</c:v>
                </c:pt>
                <c:pt idx="20">
                  <c:v>37.3825675757595</c:v>
                </c:pt>
                <c:pt idx="21">
                  <c:v>37.377054633381</c:v>
                </c:pt>
                <c:pt idx="22">
                  <c:v>37.3712893666292</c:v>
                </c:pt>
                <c:pt idx="23">
                  <c:v>37.3652605848949</c:v>
                </c:pt>
                <c:pt idx="24">
                  <c:v>37.3589566346821</c:v>
                </c:pt>
                <c:pt idx="25">
                  <c:v>37.352365383573</c:v>
                </c:pt>
                <c:pt idx="26">
                  <c:v>37.3454742039334</c:v>
                </c:pt>
                <c:pt idx="27">
                  <c:v>37.3382699563852</c:v>
                </c:pt>
                <c:pt idx="28">
                  <c:v>37.3307389730778</c:v>
                </c:pt>
                <c:pt idx="29">
                  <c:v>37.3228670407925</c:v>
                </c:pt>
                <c:pt idx="30">
                  <c:v>37.3146393839217</c:v>
                </c:pt>
                <c:pt idx="31">
                  <c:v>37.3060406473661</c:v>
                </c:pt>
                <c:pt idx="32">
                  <c:v>37.2970548794021</c:v>
                </c:pt>
                <c:pt idx="33">
                  <c:v>37.2876655145726</c:v>
                </c:pt>
                <c:pt idx="34">
                  <c:v>37.2778553566658</c:v>
                </c:pt>
                <c:pt idx="35">
                  <c:v>37.2676065618476</c:v>
                </c:pt>
                <c:pt idx="36">
                  <c:v>37.2569006220243</c:v>
                </c:pt>
                <c:pt idx="37">
                  <c:v>37.2457183485153</c:v>
                </c:pt>
                <c:pt idx="38">
                  <c:v>37.2340398561263</c:v>
                </c:pt>
                <c:pt idx="39">
                  <c:v>37.2218445477186</c:v>
                </c:pt>
                <c:pt idx="40">
                  <c:v>37.209111099378</c:v>
                </c:pt>
                <c:pt idx="41">
                  <c:v>37.1958174462977</c:v>
                </c:pt>
                <c:pt idx="42">
                  <c:v>37.1819407694929</c:v>
                </c:pt>
                <c:pt idx="43">
                  <c:v>37.1674574834781</c:v>
                </c:pt>
                <c:pt idx="44">
                  <c:v>37.1523432250434</c:v>
                </c:pt>
                <c:pt idx="45">
                  <c:v>37.1365728432754</c:v>
                </c:pt>
                <c:pt idx="46">
                  <c:v>37.1201203909769</c:v>
                </c:pt>
                <c:pt idx="47">
                  <c:v>37.1029591176483</c:v>
                </c:pt>
                <c:pt idx="48">
                  <c:v>37.0850614641994</c:v>
                </c:pt>
                <c:pt idx="49">
                  <c:v>37.0663990595709</c:v>
                </c:pt>
                <c:pt idx="50">
                  <c:v>37.0469427194495</c:v>
                </c:pt>
                <c:pt idx="51">
                  <c:v>37.0266624472672</c:v>
                </c:pt>
                <c:pt idx="52">
                  <c:v>37.0055274376827</c:v>
                </c:pt>
                <c:pt idx="53">
                  <c:v>36.9835060827448</c:v>
                </c:pt>
                <c:pt idx="54">
                  <c:v>36.9605659809429</c:v>
                </c:pt>
                <c:pt idx="55">
                  <c:v>36.9366739493506</c:v>
                </c:pt>
                <c:pt idx="56">
                  <c:v>36.9117960390702</c:v>
                </c:pt>
                <c:pt idx="57">
                  <c:v>36.8858975541821</c:v>
                </c:pt>
                <c:pt idx="58">
                  <c:v>36.8589430744032</c:v>
                </c:pt>
                <c:pt idx="59">
                  <c:v>36.830896481649</c:v>
                </c:pt>
                <c:pt idx="60">
                  <c:v>36.8017209906899</c:v>
                </c:pt>
                <c:pt idx="61">
                  <c:v>36.7713791840785</c:v>
                </c:pt>
                <c:pt idx="62">
                  <c:v>36.7398330515138</c:v>
                </c:pt>
                <c:pt idx="63">
                  <c:v>36.7070440337891</c:v>
                </c:pt>
                <c:pt idx="64">
                  <c:v>36.6729730714548</c:v>
                </c:pt>
                <c:pt idx="65">
                  <c:v>36.6375806583</c:v>
                </c:pt>
                <c:pt idx="66">
                  <c:v>36.6008268997341</c:v>
                </c:pt>
                <c:pt idx="67">
                  <c:v>36.5626715761182</c:v>
                </c:pt>
                <c:pt idx="68">
                  <c:v>36.5230742110637</c:v>
                </c:pt>
                <c:pt idx="69">
                  <c:v>36.4819941446794</c:v>
                </c:pt>
                <c:pt idx="70">
                  <c:v>36.4393906117076</c:v>
                </c:pt>
                <c:pt idx="71">
                  <c:v>36.3952228244485</c:v>
                </c:pt>
                <c:pt idx="72">
                  <c:v>36.3494500603256</c:v>
                </c:pt>
                <c:pt idx="73">
                  <c:v>36.3020317538967</c:v>
                </c:pt>
                <c:pt idx="74">
                  <c:v>36.252927593066</c:v>
                </c:pt>
                <c:pt idx="75">
                  <c:v>36.2020976191997</c:v>
                </c:pt>
                <c:pt idx="76">
                  <c:v>36.1495023307967</c:v>
                </c:pt>
                <c:pt idx="77">
                  <c:v>36.09510279031</c:v>
                </c:pt>
                <c:pt idx="78">
                  <c:v>36.0388607336653</c:v>
                </c:pt>
                <c:pt idx="79">
                  <c:v>35.9807386819685</c:v>
                </c:pt>
                <c:pt idx="80">
                  <c:v>35.9207000548463</c:v>
                </c:pt>
                <c:pt idx="81">
                  <c:v>35.8587092848175</c:v>
                </c:pt>
                <c:pt idx="82">
                  <c:v>35.7947319320463</c:v>
                </c:pt>
                <c:pt idx="83">
                  <c:v>35.7287347987968</c:v>
                </c:pt>
                <c:pt idx="84">
                  <c:v>35.6606860428689</c:v>
                </c:pt>
                <c:pt idx="85">
                  <c:v>35.590555289273</c:v>
                </c:pt>
                <c:pt idx="86">
                  <c:v>35.5183137393823</c:v>
                </c:pt>
                <c:pt idx="87">
                  <c:v>35.4439342767873</c:v>
                </c:pt>
                <c:pt idx="88">
                  <c:v>35.3673915690779</c:v>
                </c:pt>
                <c:pt idx="89">
                  <c:v>35.2886621647832</c:v>
                </c:pt>
                <c:pt idx="90">
                  <c:v>35.2077245847152</c:v>
                </c:pt>
                <c:pt idx="91">
                  <c:v>35.1245594069885</c:v>
                </c:pt>
                <c:pt idx="92">
                  <c:v>35.0391493450225</c:v>
                </c:pt>
                <c:pt idx="93">
                  <c:v>34.9514793178781</c:v>
                </c:pt>
                <c:pt idx="94">
                  <c:v>34.8615365123331</c:v>
                </c:pt>
                <c:pt idx="95">
                  <c:v>34.7693104361636</c:v>
                </c:pt>
                <c:pt idx="96">
                  <c:v>34.6747929621678</c:v>
                </c:pt>
                <c:pt idx="97">
                  <c:v>34.5779783625457</c:v>
                </c:pt>
                <c:pt idx="98">
                  <c:v>34.4788633333299</c:v>
                </c:pt>
                <c:pt idx="99">
                  <c:v>34.3774470086508</c:v>
                </c:pt>
                <c:pt idx="100">
                  <c:v>34.2737309647093</c:v>
                </c:pt>
                <c:pt idx="101">
                  <c:v>34.167719213421</c:v>
                </c:pt>
                <c:pt idx="102">
                  <c:v>34.0594181857929</c:v>
                </c:pt>
                <c:pt idx="103">
                  <c:v>33.9488367051805</c:v>
                </c:pt>
                <c:pt idx="104">
                  <c:v>33.8359859506658</c:v>
                </c:pt>
                <c:pt idx="105">
                  <c:v>33.7208794108828</c:v>
                </c:pt>
                <c:pt idx="106">
                  <c:v>33.6035328286969</c:v>
                </c:pt>
                <c:pt idx="107">
                  <c:v>33.4839641372205</c:v>
                </c:pt>
                <c:pt idx="108">
                  <c:v>33.3621933877146</c:v>
                </c:pt>
                <c:pt idx="109">
                  <c:v>33.2382426699859</c:v>
                </c:pt>
                <c:pt idx="110">
                  <c:v>33.1121360259414</c:v>
                </c:pt>
                <c:pt idx="111">
                  <c:v>32.9838993570029</c:v>
                </c:pt>
                <c:pt idx="112">
                  <c:v>32.8535603261179</c:v>
                </c:pt>
                <c:pt idx="113">
                  <c:v>32.7211482551257</c:v>
                </c:pt>
                <c:pt idx="114">
                  <c:v>32.5866940182513</c:v>
                </c:pt>
                <c:pt idx="115">
                  <c:v>32.450229932503</c:v>
                </c:pt>
                <c:pt idx="116">
                  <c:v>32.3117896457482</c:v>
                </c:pt>
                <c:pt idx="117">
                  <c:v>32.1714080232224</c:v>
                </c:pt>
                <c:pt idx="118">
                  <c:v>32.0291210332133</c:v>
                </c:pt>
                <c:pt idx="119">
                  <c:v>31.8849656326272</c:v>
                </c:pt>
                <c:pt idx="120">
                  <c:v>31.7389796531145</c:v>
                </c:pt>
                <c:pt idx="121">
                  <c:v>31.5912016883917</c:v>
                </c:pt>
                <c:pt idx="122">
                  <c:v>31.4416709833498</c:v>
                </c:pt>
                <c:pt idx="123">
                  <c:v>31.2904273254968</c:v>
                </c:pt>
                <c:pt idx="124">
                  <c:v>31.1375109392275</c:v>
                </c:pt>
                <c:pt idx="125">
                  <c:v>30.982962383363</c:v>
                </c:pt>
                <c:pt idx="126">
                  <c:v>30.8268224523524</c:v>
                </c:pt>
                <c:pt idx="127">
                  <c:v>30.6691320814705</c:v>
                </c:pt>
                <c:pt idx="128">
                  <c:v>30.5099322562989</c:v>
                </c:pt>
                <c:pt idx="129">
                  <c:v>30.3492639267217</c:v>
                </c:pt>
                <c:pt idx="130">
                  <c:v>30.1871679256212</c:v>
                </c:pt>
                <c:pt idx="131">
                  <c:v>30.0236848924084</c:v>
                </c:pt>
                <c:pt idx="132">
                  <c:v>29.8588552014801</c:v>
                </c:pt>
                <c:pt idx="133">
                  <c:v>29.6927188956527</c:v>
                </c:pt>
                <c:pt idx="134">
                  <c:v>29.5253156245825</c:v>
                </c:pt>
                <c:pt idx="135">
                  <c:v>29.356684588148</c:v>
                </c:pt>
                <c:pt idx="136">
                  <c:v>29.1868644847374</c:v>
                </c:pt>
                <c:pt idx="137">
                  <c:v>29.0158934643556</c:v>
                </c:pt>
                <c:pt idx="138">
                  <c:v>28.8438090864391</c:v>
                </c:pt>
                <c:pt idx="139">
                  <c:v>28.6706482822467</c:v>
                </c:pt>
                <c:pt idx="140">
                  <c:v>28.4964473216751</c:v>
                </c:pt>
                <c:pt idx="141">
                  <c:v>28.3212417843301</c:v>
                </c:pt>
                <c:pt idx="142">
                  <c:v>28.1450665346761</c:v>
                </c:pt>
                <c:pt idx="143">
                  <c:v>27.9679557010739</c:v>
                </c:pt>
                <c:pt idx="144">
                  <c:v>27.7899426585083</c:v>
                </c:pt>
                <c:pt idx="145">
                  <c:v>27.6110600148069</c:v>
                </c:pt>
                <c:pt idx="146">
                  <c:v>27.4313396001427</c:v>
                </c:pt>
                <c:pt idx="147">
                  <c:v>27.2508124596174</c:v>
                </c:pt>
                <c:pt idx="148">
                  <c:v>27.0695088487206</c:v>
                </c:pt>
                <c:pt idx="149">
                  <c:v>26.887458231462</c:v>
                </c:pt>
                <c:pt idx="150">
                  <c:v>26.7046892809805</c:v>
                </c:pt>
                <c:pt idx="151">
                  <c:v>26.5212298824348</c:v>
                </c:pt>
                <c:pt idx="152">
                  <c:v>26.3371071379903</c:v>
                </c:pt>
                <c:pt idx="153">
                  <c:v>26.1523473737196</c:v>
                </c:pt>
                <c:pt idx="154">
                  <c:v>25.9669761482441</c:v>
                </c:pt>
                <c:pt idx="155">
                  <c:v>25.7810182629514</c:v>
                </c:pt>
                <c:pt idx="156">
                  <c:v>25.5944977736294</c:v>
                </c:pt>
                <c:pt idx="157">
                  <c:v>25.4074380033696</c:v>
                </c:pt>
                <c:pt idx="158">
                  <c:v>25.2198615565969</c:v>
                </c:pt>
                <c:pt idx="159">
                  <c:v>25.0317903340956</c:v>
                </c:pt>
                <c:pt idx="160">
                  <c:v>24.8432455489068</c:v>
                </c:pt>
                <c:pt idx="161">
                  <c:v>24.6542477429814</c:v>
                </c:pt>
                <c:pt idx="162">
                  <c:v>24.4648168044842</c:v>
                </c:pt>
                <c:pt idx="163">
                  <c:v>24.2749719856473</c:v>
                </c:pt>
                <c:pt idx="164">
                  <c:v>24.0847319210842</c:v>
                </c:pt>
                <c:pt idx="165">
                  <c:v>23.8941146464803</c:v>
                </c:pt>
                <c:pt idx="166">
                  <c:v>23.7031376175845</c:v>
                </c:pt>
                <c:pt idx="167">
                  <c:v>23.5118177294313</c:v>
                </c:pt>
                <c:pt idx="168">
                  <c:v>23.3201713357347</c:v>
                </c:pt>
                <c:pt idx="169">
                  <c:v>23.1282142683933</c:v>
                </c:pt>
                <c:pt idx="170">
                  <c:v>22.9359618570618</c:v>
                </c:pt>
                <c:pt idx="171">
                  <c:v>22.7434289487405</c:v>
                </c:pt>
                <c:pt idx="172">
                  <c:v>22.5506299273469</c:v>
                </c:pt>
                <c:pt idx="173">
                  <c:v>22.3575787332347</c:v>
                </c:pt>
                <c:pt idx="174">
                  <c:v>22.1642888826314</c:v>
                </c:pt>
                <c:pt idx="175">
                  <c:v>21.9707734869691</c:v>
                </c:pt>
                <c:pt idx="176">
                  <c:v>21.77704527209</c:v>
                </c:pt>
                <c:pt idx="177">
                  <c:v>21.5831165973086</c:v>
                </c:pt>
                <c:pt idx="178">
                  <c:v>21.3889994743168</c:v>
                </c:pt>
                <c:pt idx="179">
                  <c:v>21.1947055859247</c:v>
                </c:pt>
                <c:pt idx="180">
                  <c:v>21.0002463046279</c:v>
                </c:pt>
                <c:pt idx="181">
                  <c:v>20.8056327109987</c:v>
                </c:pt>
                <c:pt idx="182">
                  <c:v>20.6108756118991</c:v>
                </c:pt>
                <c:pt idx="183">
                  <c:v>20.4159855585179</c:v>
                </c:pt>
                <c:pt idx="184">
                  <c:v>20.2209728642329</c:v>
                </c:pt>
                <c:pt idx="185">
                  <c:v>20.0258476223066</c:v>
                </c:pt>
                <c:pt idx="186">
                  <c:v>19.8306197234187</c:v>
                </c:pt>
                <c:pt idx="187">
                  <c:v>19.635298873047</c:v>
                </c:pt>
                <c:pt idx="188">
                  <c:v>19.4398946087061</c:v>
                </c:pt>
                <c:pt idx="189">
                  <c:v>19.2444163170542</c:v>
                </c:pt>
                <c:pt idx="190">
                  <c:v>19.0488732508823</c:v>
                </c:pt>
                <c:pt idx="191">
                  <c:v>18.8532745459997</c:v>
                </c:pt>
                <c:pt idx="192">
                  <c:v>18.6576292380293</c:v>
                </c:pt>
                <c:pt idx="193">
                  <c:v>18.4619462791299</c:v>
                </c:pt>
                <c:pt idx="194">
                  <c:v>18.2662345546619</c:v>
                </c:pt>
                <c:pt idx="195">
                  <c:v>18.070502899813</c:v>
                </c:pt>
                <c:pt idx="196">
                  <c:v>17.8747601162026</c:v>
                </c:pt>
                <c:pt idx="197">
                  <c:v>17.6790149884833</c:v>
                </c:pt>
                <c:pt idx="198">
                  <c:v>17.4832763009585</c:v>
                </c:pt>
                <c:pt idx="199">
                  <c:v>17.2875528542345</c:v>
                </c:pt>
                <c:pt idx="200">
                  <c:v>17.0918534819293</c:v>
                </c:pt>
                <c:pt idx="201">
                  <c:v>16.8961870674545</c:v>
                </c:pt>
                <c:pt idx="202">
                  <c:v>16.7005625608942</c:v>
                </c:pt>
                <c:pt idx="203">
                  <c:v>16.5049889959981</c:v>
                </c:pt>
                <c:pt idx="204">
                  <c:v>16.3094755073108</c:v>
                </c:pt>
                <c:pt idx="205">
                  <c:v>16.1140313474572</c:v>
                </c:pt>
                <c:pt idx="206">
                  <c:v>15.9186659046048</c:v>
                </c:pt>
                <c:pt idx="207">
                  <c:v>15.7233887201213</c:v>
                </c:pt>
                <c:pt idx="208">
                  <c:v>15.5282095064488</c:v>
                </c:pt>
                <c:pt idx="209">
                  <c:v>15.3331381652145</c:v>
                </c:pt>
                <c:pt idx="210">
                  <c:v>15.1381848055949</c:v>
                </c:pt>
                <c:pt idx="211">
                  <c:v>14.9433597629544</c:v>
                </c:pt>
                <c:pt idx="212">
                  <c:v>14.7486736177745</c:v>
                </c:pt>
                <c:pt idx="213">
                  <c:v>14.5541372148927</c:v>
                </c:pt>
                <c:pt idx="214">
                  <c:v>14.3597616830656</c:v>
                </c:pt>
                <c:pt idx="215">
                  <c:v>14.1655584548732</c:v>
                </c:pt>
                <c:pt idx="216">
                  <c:v>13.971539286979</c:v>
                </c:pt>
                <c:pt idx="217">
                  <c:v>13.7777162807575</c:v>
                </c:pt>
                <c:pt idx="218">
                  <c:v>13.5841019033034</c:v>
                </c:pt>
                <c:pt idx="219">
                  <c:v>13.3907090088307</c:v>
                </c:pt>
                <c:pt idx="220">
                  <c:v>13.1975508604724</c:v>
                </c:pt>
                <c:pt idx="221">
                  <c:v>13.004641152486</c:v>
                </c:pt>
                <c:pt idx="222">
                  <c:v>12.8119940328705</c:v>
                </c:pt>
                <c:pt idx="223">
                  <c:v>12.619624126397</c:v>
                </c:pt>
                <c:pt idx="224">
                  <c:v>12.4275465580533</c:v>
                </c:pt>
                <c:pt idx="225">
                  <c:v>12.2357769768978</c:v>
                </c:pt>
                <c:pt idx="226">
                  <c:v>12.0443315803202</c:v>
                </c:pt>
                <c:pt idx="227">
                  <c:v>11.8532271386954</c:v>
                </c:pt>
                <c:pt idx="228">
                  <c:v>11.6624810204213</c:v>
                </c:pt>
                <c:pt idx="229">
                  <c:v>11.4721112173216</c:v>
                </c:pt>
                <c:pt idx="230">
                  <c:v>11.2821363703929</c:v>
                </c:pt>
                <c:pt idx="231">
                  <c:v>11.0925757958707</c:v>
                </c:pt>
                <c:pt idx="232">
                  <c:v>10.9034495115829</c:v>
                </c:pt>
                <c:pt idx="233">
                  <c:v>10.7147782635549</c:v>
                </c:pt>
                <c:pt idx="234">
                  <c:v>10.5265835528252</c:v>
                </c:pt>
                <c:pt idx="235">
                  <c:v>10.3388876624218</c:v>
                </c:pt>
                <c:pt idx="236">
                  <c:v>10.1517136844465</c:v>
                </c:pt>
                <c:pt idx="237">
                  <c:v>9.96508554720515</c:v>
                </c:pt>
                <c:pt idx="238">
                  <c:v>9.77902804231485</c:v>
                </c:pt>
                <c:pt idx="239">
                  <c:v>9.59356685171097</c:v>
                </c:pt>
                <c:pt idx="240">
                  <c:v>9.40872857447144</c:v>
                </c:pt>
                <c:pt idx="241">
                  <c:v>9.22454075336263</c:v>
                </c:pt>
                <c:pt idx="242">
                  <c:v>9.04103190100654</c:v>
                </c:pt>
                <c:pt idx="243">
                  <c:v>8.85823152555737</c:v>
                </c:pt>
                <c:pt idx="244">
                  <c:v>8.67617015576674</c:v>
                </c:pt>
                <c:pt idx="245">
                  <c:v>8.49487936530748</c:v>
                </c:pt>
                <c:pt idx="246">
                  <c:v>8.31439179621494</c:v>
                </c:pt>
                <c:pt idx="247">
                  <c:v>8.13474118129603</c:v>
                </c:pt>
                <c:pt idx="248">
                  <c:v>7.95596236534428</c:v>
                </c:pt>
                <c:pt idx="249">
                  <c:v>7.77809132499105</c:v>
                </c:pt>
                <c:pt idx="250">
                  <c:v>7.60116518701099</c:v>
                </c:pt>
                <c:pt idx="251">
                  <c:v>7.42522224489146</c:v>
                </c:pt>
                <c:pt idx="252">
                  <c:v>7.25030197346521</c:v>
                </c:pt>
                <c:pt idx="253">
                  <c:v>7.07644504139748</c:v>
                </c:pt>
                <c:pt idx="254">
                  <c:v>6.90369332130826</c:v>
                </c:pt>
                <c:pt idx="255">
                  <c:v>6.73208989730589</c:v>
                </c:pt>
                <c:pt idx="256">
                  <c:v>6.56167906969852</c:v>
                </c:pt>
                <c:pt idx="257">
                  <c:v>6.39250635664535</c:v>
                </c:pt>
                <c:pt idx="258">
                  <c:v>6.22461849250706</c:v>
                </c:pt>
                <c:pt idx="259">
                  <c:v>6.05806342264773</c:v>
                </c:pt>
                <c:pt idx="260">
                  <c:v>5.89289029444465</c:v>
                </c:pt>
                <c:pt idx="261">
                  <c:v>5.72914944425925</c:v>
                </c:pt>
                <c:pt idx="262">
                  <c:v>5.56689238012746</c:v>
                </c:pt>
                <c:pt idx="263">
                  <c:v>5.40617175993216</c:v>
                </c:pt>
                <c:pt idx="264">
                  <c:v>5.24704136482865</c:v>
                </c:pt>
                <c:pt idx="265">
                  <c:v>5.08955606770417</c:v>
                </c:pt>
                <c:pt idx="266">
                  <c:v>4.93377179646678</c:v>
                </c:pt>
                <c:pt idx="267">
                  <c:v>4.77974549197345</c:v>
                </c:pt>
                <c:pt idx="268">
                  <c:v>4.62753506042854</c:v>
                </c:pt>
                <c:pt idx="269">
                  <c:v>4.47719932010535</c:v>
                </c:pt>
                <c:pt idx="270">
                  <c:v>4.32879794226922</c:v>
                </c:pt>
                <c:pt idx="271">
                  <c:v>4.18239138620986</c:v>
                </c:pt>
                <c:pt idx="272">
                  <c:v>4.03804082832216</c:v>
                </c:pt>
                <c:pt idx="273">
                  <c:v>3.89580808520979</c:v>
                </c:pt>
                <c:pt idx="274">
                  <c:v>3.75575553082373</c:v>
                </c:pt>
                <c:pt idx="275">
                  <c:v>3.61794600768649</c:v>
                </c:pt>
                <c:pt idx="276">
                  <c:v>3.48244273229727</c:v>
                </c:pt>
                <c:pt idx="277">
                  <c:v>3.34930919485364</c:v>
                </c:pt>
                <c:pt idx="278">
                  <c:v>3.21860905347432</c:v>
                </c:pt>
                <c:pt idx="279">
                  <c:v>3.09040602314847</c:v>
                </c:pt>
                <c:pt idx="280">
                  <c:v>2.96476375968769</c:v>
                </c:pt>
                <c:pt idx="281">
                  <c:v>2.84174573899625</c:v>
                </c:pt>
                <c:pt idx="282">
                  <c:v>2.72141513202408</c:v>
                </c:pt>
                <c:pt idx="283">
                  <c:v>2.60383467580489</c:v>
                </c:pt>
                <c:pt idx="284">
                  <c:v>2.48906654102216</c:v>
                </c:pt>
                <c:pt idx="285">
                  <c:v>2.37717219658196</c:v>
                </c:pt>
                <c:pt idx="286">
                  <c:v>2.26821227170152</c:v>
                </c:pt>
                <c:pt idx="287">
                  <c:v>2.16224641604959</c:v>
                </c:pt>
                <c:pt idx="288">
                  <c:v>2.05933315849719</c:v>
                </c:pt>
                <c:pt idx="289">
                  <c:v>1.95952976505106</c:v>
                </c:pt>
                <c:pt idx="290">
                  <c:v>1.86289209655258</c:v>
                </c:pt>
                <c:pt idx="291">
                  <c:v>1.76947446672814</c:v>
                </c:pt>
                <c:pt idx="292">
                  <c:v>1.67932950117365</c:v>
                </c:pt>
                <c:pt idx="293">
                  <c:v>1.59250799784289</c:v>
                </c:pt>
                <c:pt idx="294">
                  <c:v>1.50905878960023</c:v>
                </c:pt>
                <c:pt idx="295">
                  <c:v>1.42902860936694</c:v>
                </c:pt>
                <c:pt idx="296">
                  <c:v>1.35246195837078</c:v>
                </c:pt>
                <c:pt idx="297">
                  <c:v>1.27940097797071</c:v>
                </c:pt>
                <c:pt idx="298">
                  <c:v>1.2098853254965</c:v>
                </c:pt>
                <c:pt idx="299">
                  <c:v>1.14395205449914</c:v>
                </c:pt>
                <c:pt idx="300">
                  <c:v>1.08163549977055</c:v>
                </c:pt>
                <c:pt idx="301">
                  <c:v>1.02296716744508</c:v>
                </c:pt>
                <c:pt idx="302">
                  <c:v>0.967975630454719</c:v>
                </c:pt>
                <c:pt idx="303">
                  <c:v>0.916686429567169</c:v>
                </c:pt>
                <c:pt idx="304">
                  <c:v>0.86912198019606</c:v>
                </c:pt>
                <c:pt idx="305">
                  <c:v>0.825301485135387</c:v>
                </c:pt>
                <c:pt idx="306">
                  <c:v>0.78524085333879</c:v>
                </c:pt>
                <c:pt idx="307">
                  <c:v>0.74895262483349</c:v>
                </c:pt>
                <c:pt idx="308">
                  <c:v>0.716445901836331</c:v>
                </c:pt>
                <c:pt idx="309">
                  <c:v>0.687726286120114</c:v>
                </c:pt>
                <c:pt idx="310">
                  <c:v>0.662795822665885</c:v>
                </c:pt>
                <c:pt idx="311">
                  <c:v>0.64165294963038</c:v>
                </c:pt>
                <c:pt idx="312">
                  <c:v>0.624292454651174</c:v>
                </c:pt>
                <c:pt idx="313">
                  <c:v>0.610705437521836</c:v>
                </c:pt>
                <c:pt idx="314">
                  <c:v>0.600879279265676</c:v>
                </c:pt>
                <c:pt idx="315">
                  <c:v>0.594797617658081</c:v>
                </c:pt>
                <c:pt idx="316">
                  <c:v>0.592440329248617</c:v>
                </c:pt>
                <c:pt idx="317">
                  <c:v>0.593783517955043</c:v>
                </c:pt>
                <c:pt idx="318">
                  <c:v>0.59879951031332</c:v>
                </c:pt>
                <c:pt idx="319">
                  <c:v>0.607456857480339</c:v>
                </c:pt>
                <c:pt idx="320">
                  <c:v>0.619720344099603</c:v>
                </c:pt>
                <c:pt idx="321">
                  <c:v>0.635551004149593</c:v>
                </c:pt>
                <c:pt idx="322">
                  <c:v>0.654906143900007</c:v>
                </c:pt>
                <c:pt idx="323">
                  <c:v>0.677739372104349</c:v>
                </c:pt>
                <c:pt idx="324">
                  <c:v>0.704000637555671</c:v>
                </c:pt>
                <c:pt idx="325">
                  <c:v>0.733636274122509</c:v>
                </c:pt>
                <c:pt idx="326">
                  <c:v>0.76658905337376</c:v>
                </c:pt>
                <c:pt idx="327">
                  <c:v>0.802798244881007</c:v>
                </c:pt>
                <c:pt idx="328">
                  <c:v>0.842199684265489</c:v>
                </c:pt>
                <c:pt idx="329">
                  <c:v>0.884725849030524</c:v>
                </c:pt>
                <c:pt idx="330">
                  <c:v>0.930305942188676</c:v>
                </c:pt>
                <c:pt idx="331">
                  <c:v>0.978865983660118</c:v>
                </c:pt>
                <c:pt idx="332">
                  <c:v>1.03032890937882</c:v>
                </c:pt>
                <c:pt idx="333">
                  <c:v>1.08461467800839</c:v>
                </c:pt>
                <c:pt idx="334">
                  <c:v>1.14164038512636</c:v>
                </c:pt>
                <c:pt idx="335">
                  <c:v>1.20132038469799</c:v>
                </c:pt>
                <c:pt idx="336">
                  <c:v>1.26356641762018</c:v>
                </c:pt>
                <c:pt idx="337">
                  <c:v>1.32828774707983</c:v>
                </c:pt>
                <c:pt idx="338">
                  <c:v>1.39539130043551</c:v>
                </c:pt>
                <c:pt idx="339">
                  <c:v>1.46478181729653</c:v>
                </c:pt>
                <c:pt idx="340">
                  <c:v>1.53636200344849</c:v>
                </c:pt>
                <c:pt idx="341">
                  <c:v>1.61003269024558</c:v>
                </c:pt>
                <c:pt idx="342">
                  <c:v>1.68569299906811</c:v>
                </c:pt>
                <c:pt idx="343">
                  <c:v>1.76324051042829</c:v>
                </c:pt>
                <c:pt idx="344">
                  <c:v>1.8425714372897</c:v>
                </c:pt>
                <c:pt idx="345">
                  <c:v>1.92358080215863</c:v>
                </c:pt>
                <c:pt idx="346">
                  <c:v>2.00616261749395</c:v>
                </c:pt>
                <c:pt idx="347">
                  <c:v>2.09021006897949</c:v>
                </c:pt>
                <c:pt idx="348">
                  <c:v>2.17561570120117</c:v>
                </c:pt>
                <c:pt idx="349">
                  <c:v>2.26227160526481</c:v>
                </c:pt>
                <c:pt idx="350">
                  <c:v>2.3500696078965</c:v>
                </c:pt>
                <c:pt idx="351">
                  <c:v>2.43890146156216</c:v>
                </c:pt>
                <c:pt idx="352">
                  <c:v>2.52865903514534</c:v>
                </c:pt>
                <c:pt idx="353">
                  <c:v>2.61923450472063</c:v>
                </c:pt>
                <c:pt idx="354">
                  <c:v>2.71052054395805</c:v>
                </c:pt>
                <c:pt idx="355">
                  <c:v>2.80241051368964</c:v>
                </c:pt>
                <c:pt idx="356">
                  <c:v>2.89479865016553</c:v>
                </c:pt>
                <c:pt idx="357">
                  <c:v>2.98758025151788</c:v>
                </c:pt>
                <c:pt idx="358">
                  <c:v>3.08065186194473</c:v>
                </c:pt>
                <c:pt idx="359">
                  <c:v>3.17391145311295</c:v>
                </c:pt>
                <c:pt idx="360">
                  <c:v>3.26725860227016</c:v>
                </c:pt>
                <c:pt idx="361">
                  <c:v>3.36059466654155</c:v>
                </c:pt>
                <c:pt idx="362">
                  <c:v>3.45382295287638</c:v>
                </c:pt>
                <c:pt idx="363">
                  <c:v>3.5468488830963</c:v>
                </c:pt>
                <c:pt idx="364">
                  <c:v>3.63958015348549</c:v>
                </c:pt>
                <c:pt idx="365">
                  <c:v>3.73192688835624</c:v>
                </c:pt>
                <c:pt idx="366">
                  <c:v>3.82380178701545</c:v>
                </c:pt>
                <c:pt idx="367">
                  <c:v>3.91512026355546</c:v>
                </c:pt>
                <c:pt idx="368">
                  <c:v>4.00580057889472</c:v>
                </c:pt>
                <c:pt idx="369">
                  <c:v>4.09576396450183</c:v>
                </c:pt>
                <c:pt idx="370">
                  <c:v>4.18493473724728</c:v>
                </c:pt>
                <c:pt idx="371">
                  <c:v>4.27324040485013</c:v>
                </c:pt>
                <c:pt idx="372">
                  <c:v>4.36061176140926</c:v>
                </c:pt>
                <c:pt idx="373">
                  <c:v>4.44698297254687</c:v>
                </c:pt>
                <c:pt idx="374">
                  <c:v>4.53229164972967</c:v>
                </c:pt>
                <c:pt idx="375">
                  <c:v>4.61647891338189</c:v>
                </c:pt>
                <c:pt idx="376">
                  <c:v>4.69948944446292</c:v>
                </c:pt>
                <c:pt idx="377">
                  <c:v>4.78127152423818</c:v>
                </c:pt>
                <c:pt idx="378">
                  <c:v>4.86177706204651</c:v>
                </c:pt>
                <c:pt idx="379">
                  <c:v>4.94096161093559</c:v>
                </c:pt>
                <c:pt idx="380">
                  <c:v>5.01878437111674</c:v>
                </c:pt>
                <c:pt idx="381">
                  <c:v>5.09520818126945</c:v>
                </c:pt>
                <c:pt idx="382">
                  <c:v>5.17019949781181</c:v>
                </c:pt>
                <c:pt idx="383">
                  <c:v>5.24372836233188</c:v>
                </c:pt>
                <c:pt idx="384">
                  <c:v>5.31576835746197</c:v>
                </c:pt>
                <c:pt idx="385">
                  <c:v>5.38629655155769</c:v>
                </c:pt>
                <c:pt idx="386">
                  <c:v>5.4552934326204</c:v>
                </c:pt>
                <c:pt idx="387">
                  <c:v>5.52274283197777</c:v>
                </c:pt>
                <c:pt idx="388">
                  <c:v>5.58863183830423</c:v>
                </c:pt>
                <c:pt idx="389">
                  <c:v>5.65295070262534</c:v>
                </c:pt>
                <c:pt idx="390">
                  <c:v>5.71569273500461</c:v>
                </c:pt>
                <c:pt idx="391">
                  <c:v>5.77685419365795</c:v>
                </c:pt>
                <c:pt idx="392">
                  <c:v>5.83643416727955</c:v>
                </c:pt>
                <c:pt idx="393">
                  <c:v>5.8944344513904</c:v>
                </c:pt>
                <c:pt idx="394">
                  <c:v>5.95085941954214</c:v>
                </c:pt>
                <c:pt idx="395">
                  <c:v>6.00571589021832</c:v>
                </c:pt>
                <c:pt idx="396">
                  <c:v>6.0590129902766</c:v>
                </c:pt>
                <c:pt idx="397">
                  <c:v>6.11076201576937</c:v>
                </c:pt>
                <c:pt idx="398">
                  <c:v>6.16097629096226</c:v>
                </c:pt>
                <c:pt idx="399">
                  <c:v>6.20967102634942</c:v>
                </c:pt>
                <c:pt idx="400">
                  <c:v>6.25686317643271</c:v>
                </c:pt>
                <c:pt idx="401">
                  <c:v>6.30257129799309</c:v>
                </c:pt>
                <c:pt idx="402">
                  <c:v>6.34681540954552</c:v>
                </c:pt>
                <c:pt idx="403">
                  <c:v>6.38961685261689</c:v>
                </c:pt>
                <c:pt idx="404">
                  <c:v>6.43099815543899</c:v>
                </c:pt>
                <c:pt idx="405">
                  <c:v>6.47098289959462</c:v>
                </c:pt>
                <c:pt idx="406">
                  <c:v>6.50959559009889</c:v>
                </c:pt>
                <c:pt idx="407">
                  <c:v>6.54686152934443</c:v>
                </c:pt>
                <c:pt idx="408">
                  <c:v>6.5828066952794</c:v>
                </c:pt>
                <c:pt idx="409">
                  <c:v>6.61745762413326</c:v>
                </c:pt>
                <c:pt idx="410">
                  <c:v>6.65084129794989</c:v>
                </c:pt>
                <c:pt idx="411">
                  <c:v>6.68298503713519</c:v>
                </c:pt>
                <c:pt idx="412">
                  <c:v>6.71391639817263</c:v>
                </c:pt>
                <c:pt idx="413">
                  <c:v>6.74366307661641</c:v>
                </c:pt>
                <c:pt idx="414">
                  <c:v>6.77225281542028</c:v>
                </c:pt>
                <c:pt idx="415">
                  <c:v>6.79971331862535</c:v>
                </c:pt>
                <c:pt idx="416">
                  <c:v>6.82607217038246</c:v>
                </c:pt>
                <c:pt idx="417">
                  <c:v>6.85135675925811</c:v>
                </c:pt>
                <c:pt idx="418">
                  <c:v>6.87559420773435</c:v>
                </c:pt>
                <c:pt idx="419">
                  <c:v>6.89881130678922</c:v>
                </c:pt>
                <c:pt idx="420">
                  <c:v>6.92103445541575</c:v>
                </c:pt>
                <c:pt idx="421">
                  <c:v>6.94228960492132</c:v>
                </c:pt>
                <c:pt idx="422">
                  <c:v>6.96260220782554</c:v>
                </c:pt>
                <c:pt idx="423">
                  <c:v>6.98199717116405</c:v>
                </c:pt>
                <c:pt idx="424">
                  <c:v>7.00049881399313</c:v>
                </c:pt>
                <c:pt idx="425">
                  <c:v>7.01813082887831</c:v>
                </c:pt>
                <c:pt idx="426">
                  <c:v>7.0349162471479</c:v>
                </c:pt>
                <c:pt idx="427">
                  <c:v>7.05087740768439</c:v>
                </c:pt>
                <c:pt idx="428">
                  <c:v>7.06603592902697</c:v>
                </c:pt>
                <c:pt idx="429">
                  <c:v>7.08041268455753</c:v>
                </c:pt>
                <c:pt idx="430">
                  <c:v>7.09402778054333</c:v>
                </c:pt>
                <c:pt idx="431">
                  <c:v>7.10690053681536</c:v>
                </c:pt>
                <c:pt idx="432">
                  <c:v>7.11904946986113</c:v>
                </c:pt>
                <c:pt idx="433">
                  <c:v>7.13049227812175</c:v>
                </c:pt>
                <c:pt idx="434">
                  <c:v>7.14124582928426</c:v>
                </c:pt>
                <c:pt idx="435">
                  <c:v>7.15132614937231</c:v>
                </c:pt>
                <c:pt idx="436">
                  <c:v>7.1607484134415</c:v>
                </c:pt>
                <c:pt idx="437">
                  <c:v>7.16952693769856</c:v>
                </c:pt>
                <c:pt idx="438">
                  <c:v>7.17767517286878</c:v>
                </c:pt>
                <c:pt idx="439">
                  <c:v>7.1852056986469</c:v>
                </c:pt>
                <c:pt idx="440">
                  <c:v>7.19213021907725</c:v>
                </c:pt>
                <c:pt idx="441">
                  <c:v>7.19845955871336</c:v>
                </c:pt>
                <c:pt idx="442">
                  <c:v>7.20420365942531</c:v>
                </c:pt>
                <c:pt idx="443">
                  <c:v>7.20937157772226</c:v>
                </c:pt>
                <c:pt idx="444">
                  <c:v>7.21397148247547</c:v>
                </c:pt>
                <c:pt idx="445">
                  <c:v>7.21801065293297</c:v>
                </c:pt>
                <c:pt idx="446">
                  <c:v>7.22149547692522</c:v>
                </c:pt>
                <c:pt idx="447">
                  <c:v>7.22443144917249</c:v>
                </c:pt>
                <c:pt idx="448">
                  <c:v>7.22682316961364</c:v>
                </c:pt>
                <c:pt idx="449">
                  <c:v>7.22867434168176</c:v>
                </c:pt>
                <c:pt idx="450">
                  <c:v>7.22998777046507</c:v>
                </c:pt>
                <c:pt idx="451">
                  <c:v>7.23076536069724</c:v>
                </c:pt>
                <c:pt idx="452">
                  <c:v>7.23100811453047</c:v>
                </c:pt>
                <c:pt idx="453">
                  <c:v>7.23071612905364</c:v>
                </c:pt>
                <c:pt idx="454">
                  <c:v>7.22988859352471</c:v>
                </c:pt>
                <c:pt idx="455">
                  <c:v>7.22852378629644</c:v>
                </c:pt>
                <c:pt idx="456">
                  <c:v>7.22661907142176</c:v>
                </c:pt>
                <c:pt idx="457">
                  <c:v>7.22417089493247</c:v>
                </c:pt>
                <c:pt idx="458">
                  <c:v>7.22117478079483</c:v>
                </c:pt>
                <c:pt idx="459">
                  <c:v>7.21762532655257</c:v>
                </c:pt>
                <c:pt idx="460">
                  <c:v>7.21351619867585</c:v>
                </c:pt>
                <c:pt idx="461">
                  <c:v>7.20884012764335</c:v>
                </c:pt>
                <c:pt idx="462">
                  <c:v>7.20358890279393</c:v>
                </c:pt>
                <c:pt idx="463">
                  <c:v>7.19775336699042</c:v>
                </c:pt>
                <c:pt idx="464">
                  <c:v>7.19132341114898</c:v>
                </c:pt>
                <c:pt idx="465">
                  <c:v>7.18428796869407</c:v>
                </c:pt>
                <c:pt idx="466">
                  <c:v>7.17663501001053</c:v>
                </c:pt>
                <c:pt idx="467">
                  <c:v>7.16835153696974</c:v>
                </c:pt>
                <c:pt idx="468">
                  <c:v>7.15942357761866</c:v>
                </c:pt>
                <c:pt idx="469">
                  <c:v>7.149836181129</c:v>
                </c:pt>
                <c:pt idx="470">
                  <c:v>7.13957341311153</c:v>
                </c:pt>
                <c:pt idx="471">
                  <c:v>7.12861835141239</c:v>
                </c:pt>
                <c:pt idx="472">
                  <c:v>7.11695308251567</c:v>
                </c:pt>
                <c:pt idx="473">
                  <c:v>7.10455869868623</c:v>
                </c:pt>
                <c:pt idx="474">
                  <c:v>7.09141529599667</c:v>
                </c:pt>
                <c:pt idx="475">
                  <c:v>7.07750197339123</c:v>
                </c:pt>
                <c:pt idx="476">
                  <c:v>7.06279683294797</c:v>
                </c:pt>
                <c:pt idx="477">
                  <c:v>7.04727698150888</c:v>
                </c:pt>
                <c:pt idx="478">
                  <c:v>7.0309185338578</c:v>
                </c:pt>
                <c:pt idx="479">
                  <c:v>7.01369661763077</c:v>
                </c:pt>
                <c:pt idx="480">
                  <c:v>6.99558538015289</c:v>
                </c:pt>
                <c:pt idx="481">
                  <c:v>6.9765579974008</c:v>
                </c:pt>
                <c:pt idx="482">
                  <c:v>6.9565866852959</c:v>
                </c:pt>
                <c:pt idx="483">
                  <c:v>6.9356427135366</c:v>
                </c:pt>
                <c:pt idx="484">
                  <c:v>6.91369642218132</c:v>
                </c:pt>
                <c:pt idx="485">
                  <c:v>6.89071724119718</c:v>
                </c:pt>
                <c:pt idx="486">
                  <c:v>6.86667371318356</c:v>
                </c:pt>
                <c:pt idx="487">
                  <c:v>6.84153351948551</c:v>
                </c:pt>
                <c:pt idx="488">
                  <c:v>6.81526350989898</c:v>
                </c:pt>
                <c:pt idx="489">
                  <c:v>6.78782973617123</c:v>
                </c:pt>
                <c:pt idx="490">
                  <c:v>6.75919748948317</c:v>
                </c:pt>
                <c:pt idx="491">
                  <c:v>6.72933134209478</c:v>
                </c:pt>
                <c:pt idx="492">
                  <c:v>6.69819519331571</c:v>
                </c:pt>
                <c:pt idx="493">
                  <c:v>6.66575231994691</c:v>
                </c:pt>
                <c:pt idx="494">
                  <c:v>6.63196543131764</c:v>
                </c:pt>
                <c:pt idx="495">
                  <c:v>6.59679672901753</c:v>
                </c:pt>
                <c:pt idx="496">
                  <c:v>6.56020797139624</c:v>
                </c:pt>
                <c:pt idx="497">
                  <c:v>6.5221605428705</c:v>
                </c:pt>
                <c:pt idx="498">
                  <c:v>6.48261552804487</c:v>
                </c:pt>
                <c:pt idx="499">
                  <c:v>6.44153379061337</c:v>
                </c:pt>
                <c:pt idx="500">
                  <c:v>6.39887605696951</c:v>
                </c:pt>
                <c:pt idx="501">
                  <c:v>6.35460300440489</c:v>
                </c:pt>
                <c:pt idx="502">
                  <c:v>6.30867535373356</c:v>
                </c:pt>
                <c:pt idx="503">
                  <c:v>6.26105396612718</c:v>
                </c:pt>
                <c:pt idx="504">
                  <c:v>6.2116999438957</c:v>
                </c:pt>
                <c:pt idx="505">
                  <c:v>6.16057473489595</c:v>
                </c:pt>
                <c:pt idx="506">
                  <c:v>6.10764024019894</c:v>
                </c:pt>
                <c:pt idx="507">
                  <c:v>6.05285892458948</c:v>
                </c:pt>
                <c:pt idx="508">
                  <c:v>5.99619392942409</c:v>
                </c:pt>
                <c:pt idx="509">
                  <c:v>5.93760918732045</c:v>
                </c:pt>
                <c:pt idx="510">
                  <c:v>5.87706953810003</c:v>
                </c:pt>
                <c:pt idx="511">
                  <c:v>5.81454084536689</c:v>
                </c:pt>
                <c:pt idx="512">
                  <c:v>5.74999011305833</c:v>
                </c:pt>
                <c:pt idx="513">
                  <c:v>5.68338560127238</c:v>
                </c:pt>
                <c:pt idx="514">
                  <c:v>5.61469694064157</c:v>
                </c:pt>
                <c:pt idx="515">
                  <c:v>5.54389524450707</c:v>
                </c:pt>
                <c:pt idx="516">
                  <c:v>5.47095321812343</c:v>
                </c:pt>
                <c:pt idx="517">
                  <c:v>5.39584526412311</c:v>
                </c:pt>
                <c:pt idx="518">
                  <c:v>5.31854758346969</c:v>
                </c:pt>
                <c:pt idx="519">
                  <c:v>5.2390382711381</c:v>
                </c:pt>
                <c:pt idx="520">
                  <c:v>5.15729740578244</c:v>
                </c:pt>
                <c:pt idx="521">
                  <c:v>5.07330713268176</c:v>
                </c:pt>
                <c:pt idx="522">
                  <c:v>4.98705173929215</c:v>
                </c:pt>
                <c:pt idx="523">
                  <c:v>4.89851772278394</c:v>
                </c:pt>
                <c:pt idx="524">
                  <c:v>4.80769384899966</c:v>
                </c:pt>
                <c:pt idx="525">
                  <c:v>4.71457120233345</c:v>
                </c:pt>
                <c:pt idx="526">
                  <c:v>4.61914322610791</c:v>
                </c:pt>
                <c:pt idx="527">
                  <c:v>4.52140575310026</c:v>
                </c:pt>
                <c:pt idx="528">
                  <c:v>4.42135702595856</c:v>
                </c:pt>
                <c:pt idx="529">
                  <c:v>4.3189977073332</c:v>
                </c:pt>
                <c:pt idx="530">
                  <c:v>4.21433087964461</c:v>
                </c:pt>
                <c:pt idx="531">
                  <c:v>4.10736203449707</c:v>
                </c:pt>
                <c:pt idx="532">
                  <c:v>3.99809905184288</c:v>
                </c:pt>
                <c:pt idx="533">
                  <c:v>3.88655216909265</c:v>
                </c:pt>
                <c:pt idx="534">
                  <c:v>3.77273394045317</c:v>
                </c:pt>
                <c:pt idx="535">
                  <c:v>3.65665918686085</c:v>
                </c:pt>
                <c:pt idx="536">
                  <c:v>3.53834493695515</c:v>
                </c:pt>
                <c:pt idx="537">
                  <c:v>3.41781035960824</c:v>
                </c:pt>
                <c:pt idx="538">
                  <c:v>3.29507668859188</c:v>
                </c:pt>
                <c:pt idx="539">
                  <c:v>3.17016714001747</c:v>
                </c:pt>
                <c:pt idx="540">
                  <c:v>3.04310682323424</c:v>
                </c:pt>
                <c:pt idx="541">
                  <c:v>2.91392264590286</c:v>
                </c:pt>
              </c:numCache>
            </c:numRef>
          </c:yVal>
          <c:smooth val="1"/>
        </c:ser>
        <c:dLbls>
          <c:showLegendKey val="0"/>
          <c:showVal val="0"/>
          <c:showCatName val="0"/>
          <c:showSerName val="0"/>
          <c:showPercent val="0"/>
          <c:showBubbleSize val="0"/>
        </c:dLbls>
        <c:axId val="178188288"/>
        <c:axId val="178190208"/>
      </c:scatterChart>
      <c:scatterChart>
        <c:scatterStyle val="smooth"/>
        <c:varyColors val="0"/>
        <c:ser>
          <c:idx val="1"/>
          <c:order val="1"/>
          <c:tx>
            <c:strRef>
              <c:f>"Phase (deg)"</c:f>
              <c:strCache>
                <c:ptCount val="1"/>
                <c:pt idx="0">
                  <c:v>Phase (deg)</c:v>
                </c:pt>
              </c:strCache>
            </c:strRef>
          </c:tx>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Loop_Modeling!$AE$19:$AE$560</c:f>
              <c:numCache>
                <c:formatCode>General</c:formatCode>
                <c:ptCount val="542"/>
                <c:pt idx="0">
                  <c:v>-5.97703399792655</c:v>
                </c:pt>
                <c:pt idx="1">
                  <c:v>-6.11520456457684</c:v>
                </c:pt>
                <c:pt idx="2">
                  <c:v>-6.25651897932483</c:v>
                </c:pt>
                <c:pt idx="3">
                  <c:v>-6.40104522542366</c:v>
                </c:pt>
                <c:pt idx="4">
                  <c:v>-6.5488525047706</c:v>
                </c:pt>
                <c:pt idx="5">
                  <c:v>-6.70001124142946</c:v>
                </c:pt>
                <c:pt idx="6">
                  <c:v>-6.8545930836019</c:v>
                </c:pt>
                <c:pt idx="7">
                  <c:v>-7.01267090391244</c:v>
                </c:pt>
                <c:pt idx="8">
                  <c:v>-7.17431879786359</c:v>
                </c:pt>
                <c:pt idx="9">
                  <c:v>-7.33961208030611</c:v>
                </c:pt>
                <c:pt idx="10">
                  <c:v>-7.50862727976475</c:v>
                </c:pt>
                <c:pt idx="11">
                  <c:v>-7.6814421304463</c:v>
                </c:pt>
                <c:pt idx="12">
                  <c:v>-7.85813556174929</c:v>
                </c:pt>
                <c:pt idx="13">
                  <c:v>-8.03878768508482</c:v>
                </c:pt>
                <c:pt idx="14">
                  <c:v>-8.22347977780481</c:v>
                </c:pt>
                <c:pt idx="15">
                  <c:v>-8.41229426402837</c:v>
                </c:pt>
                <c:pt idx="16">
                  <c:v>-8.60531469213999</c:v>
                </c:pt>
                <c:pt idx="17">
                  <c:v>-8.80262570872783</c:v>
                </c:pt>
                <c:pt idx="18">
                  <c:v>-9.00431302871453</c:v>
                </c:pt>
                <c:pt idx="19">
                  <c:v>-9.21046340142421</c:v>
                </c:pt>
                <c:pt idx="20">
                  <c:v>-9.42116457231849</c:v>
                </c:pt>
                <c:pt idx="21">
                  <c:v>-9.63650524011823</c:v>
                </c:pt>
                <c:pt idx="22">
                  <c:v>-9.85657500902252</c:v>
                </c:pt>
                <c:pt idx="23">
                  <c:v>-10.0814643357215</c:v>
                </c:pt>
                <c:pt idx="24">
                  <c:v>-10.311264470888</c:v>
                </c:pt>
                <c:pt idx="25">
                  <c:v>-10.546067394825</c:v>
                </c:pt>
                <c:pt idx="26">
                  <c:v>-10.7859657469349</c:v>
                </c:pt>
                <c:pt idx="27">
                  <c:v>-11.0310527486648</c:v>
                </c:pt>
                <c:pt idx="28">
                  <c:v>-11.2814221195783</c:v>
                </c:pt>
                <c:pt idx="29">
                  <c:v>-11.5371679861919</c:v>
                </c:pt>
                <c:pt idx="30">
                  <c:v>-11.7983847832097</c:v>
                </c:pt>
                <c:pt idx="31">
                  <c:v>-12.0651671467879</c:v>
                </c:pt>
                <c:pt idx="32">
                  <c:v>-12.3376097994507</c:v>
                </c:pt>
                <c:pt idx="33">
                  <c:v>-12.6158074262858</c:v>
                </c:pt>
                <c:pt idx="34">
                  <c:v>-12.8998545420417</c:v>
                </c:pt>
                <c:pt idx="35">
                  <c:v>-13.189845348759</c:v>
                </c:pt>
                <c:pt idx="36">
                  <c:v>-13.4858735835664</c:v>
                </c:pt>
                <c:pt idx="37">
                  <c:v>-13.7880323562895</c:v>
                </c:pt>
                <c:pt idx="38">
                  <c:v>-14.0964139765288</c:v>
                </c:pt>
                <c:pt idx="39">
                  <c:v>-14.4111097698816</c:v>
                </c:pt>
                <c:pt idx="40">
                  <c:v>-14.732209883003</c:v>
                </c:pt>
                <c:pt idx="41">
                  <c:v>-15.0598030772297</c:v>
                </c:pt>
                <c:pt idx="42">
                  <c:v>-15.3939765105192</c:v>
                </c:pt>
                <c:pt idx="43">
                  <c:v>-15.7348155074947</c:v>
                </c:pt>
                <c:pt idx="44">
                  <c:v>-16.0824033174304</c:v>
                </c:pt>
                <c:pt idx="45">
                  <c:v>-16.4368208600589</c:v>
                </c:pt>
                <c:pt idx="46">
                  <c:v>-16.7981464591418</c:v>
                </c:pt>
                <c:pt idx="47">
                  <c:v>-17.1664555638053</c:v>
                </c:pt>
                <c:pt idx="48">
                  <c:v>-17.5418204577175</c:v>
                </c:pt>
                <c:pt idx="49">
                  <c:v>-17.9243099562606</c:v>
                </c:pt>
                <c:pt idx="50">
                  <c:v>-18.3139890919394</c:v>
                </c:pt>
                <c:pt idx="51">
                  <c:v>-18.710918788367</c:v>
                </c:pt>
                <c:pt idx="52">
                  <c:v>-19.1151555232675</c:v>
                </c:pt>
                <c:pt idx="53">
                  <c:v>-19.5267509810553</c:v>
                </c:pt>
                <c:pt idx="54">
                  <c:v>-19.9457516956682</c:v>
                </c:pt>
                <c:pt idx="55">
                  <c:v>-20.3721986844623</c:v>
                </c:pt>
                <c:pt idx="56">
                  <c:v>-20.8061270741184</c:v>
                </c:pt>
                <c:pt idx="57">
                  <c:v>-21.2475657196501</c:v>
                </c:pt>
                <c:pt idx="58">
                  <c:v>-21.6965368177615</c:v>
                </c:pt>
                <c:pt idx="59">
                  <c:v>-22.1530555159555</c:v>
                </c:pt>
                <c:pt idx="60">
                  <c:v>-22.6171295189614</c:v>
                </c:pt>
                <c:pt idx="61">
                  <c:v>-23.0887586942128</c:v>
                </c:pt>
                <c:pt idx="62">
                  <c:v>-23.5679346782773</c:v>
                </c:pt>
                <c:pt idx="63">
                  <c:v>-24.0546404863062</c:v>
                </c:pt>
                <c:pt idx="64">
                  <c:v>-24.5488501267377</c:v>
                </c:pt>
                <c:pt idx="65">
                  <c:v>-25.0505282236498</c:v>
                </c:pt>
                <c:pt idx="66">
                  <c:v>-25.5596296493101</c:v>
                </c:pt>
                <c:pt idx="67">
                  <c:v>-26.0760991696181</c:v>
                </c:pt>
                <c:pt idx="68">
                  <c:v>-26.5998711052625</c:v>
                </c:pt>
                <c:pt idx="69">
                  <c:v>-27.1308690115349</c:v>
                </c:pt>
                <c:pt idx="70">
                  <c:v>-27.669005379834</c:v>
                </c:pt>
                <c:pt idx="71">
                  <c:v>-28.2141813639733</c:v>
                </c:pt>
                <c:pt idx="72">
                  <c:v>-28.766286534445</c:v>
                </c:pt>
                <c:pt idx="73">
                  <c:v>-29.3251986638213</c:v>
                </c:pt>
                <c:pt idx="74">
                  <c:v>-29.8907835464508</c:v>
                </c:pt>
                <c:pt idx="75">
                  <c:v>-30.4628948555663</c:v>
                </c:pt>
                <c:pt idx="76">
                  <c:v>-31.0413740408313</c:v>
                </c:pt>
                <c:pt idx="77">
                  <c:v>-31.6260502692222</c:v>
                </c:pt>
                <c:pt idx="78">
                  <c:v>-32.2167404119818</c:v>
                </c:pt>
                <c:pt idx="79">
                  <c:v>-32.8132490801618</c:v>
                </c:pt>
                <c:pt idx="80">
                  <c:v>-33.415368711021</c:v>
                </c:pt>
                <c:pt idx="81">
                  <c:v>-34.0228797072467</c:v>
                </c:pt>
                <c:pt idx="82">
                  <c:v>-34.6355506306265</c:v>
                </c:pt>
                <c:pt idx="83">
                  <c:v>-35.2531384514183</c:v>
                </c:pt>
                <c:pt idx="84">
                  <c:v>-35.8753888542485</c:v>
                </c:pt>
                <c:pt idx="85">
                  <c:v>-36.5020366009162</c:v>
                </c:pt>
                <c:pt idx="86">
                  <c:v>-37.1328059500025</c:v>
                </c:pt>
                <c:pt idx="87">
                  <c:v>-37.76741113268</c:v>
                </c:pt>
                <c:pt idx="88">
                  <c:v>-38.405556883596</c:v>
                </c:pt>
                <c:pt idx="89">
                  <c:v>-39.0469390251734</c:v>
                </c:pt>
                <c:pt idx="90">
                  <c:v>-39.6912451031378</c:v>
                </c:pt>
                <c:pt idx="91">
                  <c:v>-40.3381550705526</c:v>
                </c:pt>
                <c:pt idx="92">
                  <c:v>-40.9873420171301</c:v>
                </c:pt>
                <c:pt idx="93">
                  <c:v>-41.6384729400924</c:v>
                </c:pt>
                <c:pt idx="94">
                  <c:v>-42.2912095523954</c:v>
                </c:pt>
                <c:pt idx="95">
                  <c:v>-42.9452091237072</c:v>
                </c:pt>
                <c:pt idx="96">
                  <c:v>-43.6001253491543</c:v>
                </c:pt>
                <c:pt idx="97">
                  <c:v>-44.2556092405244</c:v>
                </c:pt>
                <c:pt idx="98">
                  <c:v>-44.9113100343512</c:v>
                </c:pt>
                <c:pt idx="99">
                  <c:v>-45.5668761111057</c:v>
                </c:pt>
                <c:pt idx="100">
                  <c:v>-46.2219559195833</c:v>
                </c:pt>
                <c:pt idx="101">
                  <c:v>-46.8761989005204</c:v>
                </c:pt>
                <c:pt idx="102">
                  <c:v>-47.5292564034696</c:v>
                </c:pt>
                <c:pt idx="103">
                  <c:v>-48.1807825910606</c:v>
                </c:pt>
                <c:pt idx="104">
                  <c:v>-48.8304353249065</c:v>
                </c:pt>
                <c:pt idx="105">
                  <c:v>-49.477877027651</c:v>
                </c:pt>
                <c:pt idx="106">
                  <c:v>-50.1227755159099</c:v>
                </c:pt>
                <c:pt idx="107">
                  <c:v>-50.76480479922</c:v>
                </c:pt>
                <c:pt idx="108">
                  <c:v>-51.4036458404847</c:v>
                </c:pt>
                <c:pt idx="109">
                  <c:v>-52.0389872738396</c:v>
                </c:pt>
                <c:pt idx="110">
                  <c:v>-52.6705260763376</c:v>
                </c:pt>
                <c:pt idx="111">
                  <c:v>-53.2979681903457</c:v>
                </c:pt>
                <c:pt idx="112">
                  <c:v>-53.9210290940662</c:v>
                </c:pt>
                <c:pt idx="113">
                  <c:v>-54.5394343181276</c:v>
                </c:pt>
                <c:pt idx="114">
                  <c:v>-55.1529199067188</c:v>
                </c:pt>
                <c:pt idx="115">
                  <c:v>-55.761232822276</c:v>
                </c:pt>
                <c:pt idx="116">
                  <c:v>-56.3641312932413</c:v>
                </c:pt>
                <c:pt idx="117">
                  <c:v>-56.9613851049179</c:v>
                </c:pt>
                <c:pt idx="118">
                  <c:v>-57.5527758339166</c:v>
                </c:pt>
                <c:pt idx="119">
                  <c:v>-58.138097027125</c:v>
                </c:pt>
                <c:pt idx="120">
                  <c:v>-58.7171543265563</c:v>
                </c:pt>
                <c:pt idx="121">
                  <c:v>-59.2897655417848</c:v>
                </c:pt>
                <c:pt idx="122">
                  <c:v>-59.855760672019</c:v>
                </c:pt>
                <c:pt idx="123">
                  <c:v>-60.4149818801454</c:v>
                </c:pt>
                <c:pt idx="124">
                  <c:v>-60.9672834213189</c:v>
                </c:pt>
                <c:pt idx="125">
                  <c:v>-61.5125315288798</c:v>
                </c:pt>
                <c:pt idx="126">
                  <c:v>-62.0506042605295</c:v>
                </c:pt>
                <c:pt idx="127">
                  <c:v>-62.5813913078222</c:v>
                </c:pt>
                <c:pt idx="128">
                  <c:v>-63.1047937720976</c:v>
                </c:pt>
                <c:pt idx="129">
                  <c:v>-63.6207239100244</c:v>
                </c:pt>
                <c:pt idx="130">
                  <c:v>-64.1291048519302</c:v>
                </c:pt>
                <c:pt idx="131">
                  <c:v>-64.6298702960641</c:v>
                </c:pt>
                <c:pt idx="132">
                  <c:v>-65.1229641818869</c:v>
                </c:pt>
                <c:pt idx="133">
                  <c:v>-65.608340345402</c:v>
                </c:pt>
                <c:pt idx="134">
                  <c:v>-66.0859621594386</c:v>
                </c:pt>
                <c:pt idx="135">
                  <c:v>-66.555802161683</c:v>
                </c:pt>
                <c:pt idx="136">
                  <c:v>-67.017841673114</c:v>
                </c:pt>
                <c:pt idx="137">
                  <c:v>-67.4720704093533</c:v>
                </c:pt>
                <c:pt idx="138">
                  <c:v>-67.9184860872901</c:v>
                </c:pt>
                <c:pt idx="139">
                  <c:v>-68.3570940291677</c:v>
                </c:pt>
                <c:pt idx="140">
                  <c:v>-68.7879067661639</c:v>
                </c:pt>
                <c:pt idx="141">
                  <c:v>-69.2109436433186</c:v>
                </c:pt>
                <c:pt idx="142">
                  <c:v>-69.6262304275063</c:v>
                </c:pt>
                <c:pt idx="143">
                  <c:v>-70.033798919973</c:v>
                </c:pt>
                <c:pt idx="144">
                  <c:v>-70.4336865748053</c:v>
                </c:pt>
                <c:pt idx="145">
                  <c:v>-70.8259361245385</c:v>
                </c:pt>
                <c:pt idx="146">
                  <c:v>-71.2105952139585</c:v>
                </c:pt>
                <c:pt idx="147">
                  <c:v>-71.5877160430124</c:v>
                </c:pt>
                <c:pt idx="148">
                  <c:v>-71.9573550196035</c:v>
                </c:pt>
                <c:pt idx="149">
                  <c:v>-72.3195724229183</c:v>
                </c:pt>
                <c:pt idx="150">
                  <c:v>-72.6744320778168</c:v>
                </c:pt>
                <c:pt idx="151">
                  <c:v>-73.0220010407001</c:v>
                </c:pt>
                <c:pt idx="152">
                  <c:v>-73.3623492971745</c:v>
                </c:pt>
                <c:pt idx="153">
                  <c:v>-73.6955494717292</c:v>
                </c:pt>
                <c:pt idx="154">
                  <c:v>-74.0216765495678</c:v>
                </c:pt>
                <c:pt idx="155">
                  <c:v>-74.3408076106482</c:v>
                </c:pt>
                <c:pt idx="156">
                  <c:v>-74.6530215759233</c:v>
                </c:pt>
                <c:pt idx="157">
                  <c:v>-74.9583989657085</c:v>
                </c:pt>
                <c:pt idx="158">
                  <c:v>-75.2570216700498</c:v>
                </c:pt>
                <c:pt idx="159">
                  <c:v>-75.5489727309186</c:v>
                </c:pt>
                <c:pt idx="160">
                  <c:v>-75.8343361360172</c:v>
                </c:pt>
                <c:pt idx="161">
                  <c:v>-76.1131966239453</c:v>
                </c:pt>
                <c:pt idx="162">
                  <c:v>-76.3856395004454</c:v>
                </c:pt>
                <c:pt idx="163">
                  <c:v>-76.6517504654253</c:v>
                </c:pt>
                <c:pt idx="164">
                  <c:v>-76.9116154504299</c:v>
                </c:pt>
                <c:pt idx="165">
                  <c:v>-77.1653204662258</c:v>
                </c:pt>
                <c:pt idx="166">
                  <c:v>-77.412951460143</c:v>
                </c:pt>
                <c:pt idx="167">
                  <c:v>-77.6545941828186</c:v>
                </c:pt>
                <c:pt idx="168">
                  <c:v>-77.8903340639726</c:v>
                </c:pt>
                <c:pt idx="169">
                  <c:v>-78.1202560968552</c:v>
                </c:pt>
                <c:pt idx="170">
                  <c:v>-78.3444447309914</c:v>
                </c:pt>
                <c:pt idx="171">
                  <c:v>-78.5629837728674</c:v>
                </c:pt>
                <c:pt idx="172">
                  <c:v>-78.7759562941918</c:v>
                </c:pt>
                <c:pt idx="173">
                  <c:v>-78.9834445473833</c:v>
                </c:pt>
                <c:pt idx="174">
                  <c:v>-79.1855298879371</c:v>
                </c:pt>
                <c:pt idx="175">
                  <c:v>-79.3822927033328</c:v>
                </c:pt>
                <c:pt idx="176">
                  <c:v>-79.5738123481574</c:v>
                </c:pt>
                <c:pt idx="177">
                  <c:v>-79.7601670851269</c:v>
                </c:pt>
                <c:pt idx="178">
                  <c:v>-79.9414340317006</c:v>
                </c:pt>
                <c:pt idx="179">
                  <c:v>-80.1176891119963</c:v>
                </c:pt>
                <c:pt idx="180">
                  <c:v>-80.2890070137241</c:v>
                </c:pt>
                <c:pt idx="181">
                  <c:v>-80.4554611498729</c:v>
                </c:pt>
                <c:pt idx="182">
                  <c:v>-80.617123624892</c:v>
                </c:pt>
                <c:pt idx="183">
                  <c:v>-80.7740652051284</c:v>
                </c:pt>
                <c:pt idx="184">
                  <c:v>-80.9263552932895</c:v>
                </c:pt>
                <c:pt idx="185">
                  <c:v>-81.0740619067172</c:v>
                </c:pt>
                <c:pt idx="186">
                  <c:v>-81.2172516592693</c:v>
                </c:pt>
                <c:pt idx="187">
                  <c:v>-81.3559897466219</c:v>
                </c:pt>
                <c:pt idx="188">
                  <c:v>-81.4903399348145</c:v>
                </c:pt>
                <c:pt idx="189">
                  <c:v>-81.620364551876</c:v>
                </c:pt>
                <c:pt idx="190">
                  <c:v>-81.7461244823816</c:v>
                </c:pt>
                <c:pt idx="191">
                  <c:v>-81.8676791648027</c:v>
                </c:pt>
                <c:pt idx="192">
                  <c:v>-81.9850865915255</c:v>
                </c:pt>
                <c:pt idx="193">
                  <c:v>-82.0984033114243</c:v>
                </c:pt>
                <c:pt idx="194">
                  <c:v>-82.2076844348909</c:v>
                </c:pt>
                <c:pt idx="195">
                  <c:v>-82.3129836412297</c:v>
                </c:pt>
                <c:pt idx="196">
                  <c:v>-82.4143531883442</c:v>
                </c:pt>
                <c:pt idx="197">
                  <c:v>-82.511843924647</c:v>
                </c:pt>
                <c:pt idx="198">
                  <c:v>-82.6055053031418</c:v>
                </c:pt>
                <c:pt idx="199">
                  <c:v>-82.6953853976358</c:v>
                </c:pt>
                <c:pt idx="200">
                  <c:v>-82.7815309210496</c:v>
                </c:pt>
                <c:pt idx="201">
                  <c:v>-82.8639872458067</c:v>
                </c:pt>
                <c:pt idx="202">
                  <c:v>-82.9427984262935</c:v>
                </c:pt>
                <c:pt idx="203">
                  <c:v>-83.0180072233922</c:v>
                </c:pt>
                <c:pt idx="204">
                  <c:v>-83.0896551311004</c:v>
                </c:pt>
                <c:pt idx="205">
                  <c:v>-83.1577824052608</c:v>
                </c:pt>
                <c:pt idx="206">
                  <c:v>-83.2224280944369</c:v>
                </c:pt>
                <c:pt idx="207">
                  <c:v>-83.2836300729809</c:v>
                </c:pt>
                <c:pt idx="208">
                  <c:v>-83.3414250763488</c:v>
                </c:pt>
                <c:pt idx="209">
                  <c:v>-83.3958487387329</c:v>
                </c:pt>
                <c:pt idx="210">
                  <c:v>-83.4469356330879</c:v>
                </c:pt>
                <c:pt idx="211">
                  <c:v>-83.4947193136398</c:v>
                </c:pt>
                <c:pt idx="212">
                  <c:v>-83.5392323609797</c:v>
                </c:pt>
                <c:pt idx="213">
                  <c:v>-83.5805064298497</c:v>
                </c:pt>
                <c:pt idx="214">
                  <c:v>-83.6185722997461</c:v>
                </c:pt>
                <c:pt idx="215">
                  <c:v>-83.6534599284687</c:v>
                </c:pt>
                <c:pt idx="216">
                  <c:v>-83.6851985087615</c:v>
                </c:pt>
                <c:pt idx="217">
                  <c:v>-83.713816528198</c:v>
                </c:pt>
                <c:pt idx="218">
                  <c:v>-83.7393418324731</c:v>
                </c:pt>
                <c:pt idx="219">
                  <c:v>-83.7618016922796</c:v>
                </c:pt>
                <c:pt idx="220">
                  <c:v>-83.7812228739513</c:v>
                </c:pt>
                <c:pt idx="221">
                  <c:v>-83.7976317140676</c:v>
                </c:pt>
                <c:pt idx="222">
                  <c:v>-83.8110541982261</c:v>
                </c:pt>
                <c:pt idx="223">
                  <c:v>-83.8215160441943</c:v>
                </c:pt>
                <c:pt idx="224">
                  <c:v>-83.8290427896649</c:v>
                </c:pt>
                <c:pt idx="225">
                  <c:v>-83.8336598848441</c:v>
                </c:pt>
                <c:pt idx="226">
                  <c:v>-83.8353927901133</c:v>
                </c:pt>
                <c:pt idx="227">
                  <c:v>-83.8342670790073</c:v>
                </c:pt>
                <c:pt idx="228">
                  <c:v>-83.8303085467621</c:v>
                </c:pt>
                <c:pt idx="229">
                  <c:v>-83.8235433246874</c:v>
                </c:pt>
                <c:pt idx="230">
                  <c:v>-83.813998000624</c:v>
                </c:pt>
                <c:pt idx="231">
                  <c:v>-83.8016997457475</c:v>
                </c:pt>
                <c:pt idx="232">
                  <c:v>-83.7866764479804</c:v>
                </c:pt>
                <c:pt idx="233">
                  <c:v>-83.7689568522738</c:v>
                </c:pt>
                <c:pt idx="234">
                  <c:v>-83.7485707080152</c:v>
                </c:pt>
                <c:pt idx="235">
                  <c:v>-83.7255489238137</c:v>
                </c:pt>
                <c:pt idx="236">
                  <c:v>-83.6999237299053</c:v>
                </c:pt>
                <c:pt idx="237">
                  <c:v>-83.6717288484082</c:v>
                </c:pt>
                <c:pt idx="238">
                  <c:v>-83.6409996716438</c:v>
                </c:pt>
                <c:pt idx="239">
                  <c:v>-83.6077734487199</c:v>
                </c:pt>
                <c:pt idx="240">
                  <c:v>-83.5720894805504</c:v>
                </c:pt>
                <c:pt idx="241">
                  <c:v>-83.533989323457</c:v>
                </c:pt>
                <c:pt idx="242">
                  <c:v>-83.4935170014672</c:v>
                </c:pt>
                <c:pt idx="243">
                  <c:v>-83.4507192273864</c:v>
                </c:pt>
                <c:pt idx="244">
                  <c:v>-83.4056456326762</c:v>
                </c:pt>
                <c:pt idx="245">
                  <c:v>-83.3583490061239</c:v>
                </c:pt>
                <c:pt idx="246">
                  <c:v>-83.3088855412332</c:v>
                </c:pt>
                <c:pt idx="247">
                  <c:v>-83.2573150921988</c:v>
                </c:pt>
                <c:pt idx="248">
                  <c:v>-83.2037014382664</c:v>
                </c:pt>
                <c:pt idx="249">
                  <c:v>-83.1481125561923</c:v>
                </c:pt>
                <c:pt idx="250">
                  <c:v>-83.0906209004391</c:v>
                </c:pt>
                <c:pt idx="251">
                  <c:v>-83.0313036906467</c:v>
                </c:pt>
                <c:pt idx="252">
                  <c:v>-82.9702432058185</c:v>
                </c:pt>
                <c:pt idx="253">
                  <c:v>-82.9075270845495</c:v>
                </c:pt>
                <c:pt idx="254">
                  <c:v>-82.8432486305079</c:v>
                </c:pt>
                <c:pt idx="255">
                  <c:v>-82.7775071222527</c:v>
                </c:pt>
                <c:pt idx="256">
                  <c:v>-82.7104081263357</c:v>
                </c:pt>
                <c:pt idx="257">
                  <c:v>-82.6420638124941</c:v>
                </c:pt>
                <c:pt idx="258">
                  <c:v>-82.5725932695893</c:v>
                </c:pt>
                <c:pt idx="259">
                  <c:v>-82.5021228207934</c:v>
                </c:pt>
                <c:pt idx="260">
                  <c:v>-82.4307863363607</c:v>
                </c:pt>
                <c:pt idx="261">
                  <c:v>-82.3587255421603</c:v>
                </c:pt>
                <c:pt idx="262">
                  <c:v>-82.2860903219718</c:v>
                </c:pt>
                <c:pt idx="263">
                  <c:v>-82.2130390113837</c:v>
                </c:pt>
                <c:pt idx="264">
                  <c:v>-82.1397386809585</c:v>
                </c:pt>
                <c:pt idx="265">
                  <c:v>-82.0663654061686</c:v>
                </c:pt>
                <c:pt idx="266">
                  <c:v>-81.9931045214441</c:v>
                </c:pt>
                <c:pt idx="267">
                  <c:v>-81.9201508555213</c:v>
                </c:pt>
                <c:pt idx="268">
                  <c:v>-81.8477089451436</c:v>
                </c:pt>
                <c:pt idx="269">
                  <c:v>-81.7759932240351</c:v>
                </c:pt>
                <c:pt idx="270">
                  <c:v>-81.7052281839626</c:v>
                </c:pt>
                <c:pt idx="271">
                  <c:v>-81.6356485046134</c:v>
                </c:pt>
                <c:pt idx="272">
                  <c:v>-81.567499148954</c:v>
                </c:pt>
                <c:pt idx="273">
                  <c:v>-81.5010354207004</c:v>
                </c:pt>
                <c:pt idx="274">
                  <c:v>-81.4365229805332</c:v>
                </c:pt>
                <c:pt idx="275">
                  <c:v>-81.3742378177216</c:v>
                </c:pt>
                <c:pt idx="276">
                  <c:v>-81.3144661739013</c:v>
                </c:pt>
                <c:pt idx="277">
                  <c:v>-81.2575044158618</c:v>
                </c:pt>
                <c:pt idx="278">
                  <c:v>-81.2036588543716</c:v>
                </c:pt>
                <c:pt idx="279">
                  <c:v>-81.1532455062735</c:v>
                </c:pt>
                <c:pt idx="280">
                  <c:v>-81.1065897973519</c:v>
                </c:pt>
                <c:pt idx="281">
                  <c:v>-81.0640262037806</c:v>
                </c:pt>
                <c:pt idx="282">
                  <c:v>-81.0258978303319</c:v>
                </c:pt>
                <c:pt idx="283">
                  <c:v>-80.9925559239396</c:v>
                </c:pt>
                <c:pt idx="284">
                  <c:v>-80.9643593216765</c:v>
                </c:pt>
                <c:pt idx="285">
                  <c:v>-80.9416738327223</c:v>
                </c:pt>
                <c:pt idx="286">
                  <c:v>-80.9248715544555</c:v>
                </c:pt>
                <c:pt idx="287">
                  <c:v>-80.9143301233983</c:v>
                </c:pt>
                <c:pt idx="288">
                  <c:v>-80.9104319023807</c:v>
                </c:pt>
                <c:pt idx="289">
                  <c:v>-80.913563105943</c:v>
                </c:pt>
                <c:pt idx="290">
                  <c:v>-80.9241128666793</c:v>
                </c:pt>
                <c:pt idx="291">
                  <c:v>-80.9424722459131</c:v>
                </c:pt>
                <c:pt idx="292">
                  <c:v>-80.9690331927881</c:v>
                </c:pt>
                <c:pt idx="293">
                  <c:v>-81.0041874565375</c:v>
                </c:pt>
                <c:pt idx="294">
                  <c:v>-81.0483254573713</c:v>
                </c:pt>
                <c:pt idx="295">
                  <c:v>-81.1018351220392</c:v>
                </c:pt>
                <c:pt idx="296">
                  <c:v>-81.1651006907385</c:v>
                </c:pt>
                <c:pt idx="297">
                  <c:v>-81.2385015025702</c:v>
                </c:pt>
                <c:pt idx="298">
                  <c:v>-81.322410767234</c:v>
                </c:pt>
                <c:pt idx="299">
                  <c:v>-81.4171943310622</c:v>
                </c:pt>
                <c:pt idx="300">
                  <c:v>-81.5232094458219</c:v>
                </c:pt>
                <c:pt idx="301">
                  <c:v>-81.6408035489653</c:v>
                </c:pt>
                <c:pt idx="302">
                  <c:v>-81.7703130641421</c:v>
                </c:pt>
                <c:pt idx="303">
                  <c:v>-81.9120622308517</c:v>
                </c:pt>
                <c:pt idx="304">
                  <c:v>-82.0663619720397</c:v>
                </c:pt>
                <c:pt idx="305">
                  <c:v>-82.2335088082902</c:v>
                </c:pt>
                <c:pt idx="306">
                  <c:v>-82.4137838269892</c:v>
                </c:pt>
                <c:pt idx="307">
                  <c:v>-82.6074517144589</c:v>
                </c:pt>
                <c:pt idx="308">
                  <c:v>-82.8147598585805</c:v>
                </c:pt>
                <c:pt idx="309">
                  <c:v>-83.0359375288421</c:v>
                </c:pt>
                <c:pt idx="310">
                  <c:v>-83.2711951400842</c:v>
                </c:pt>
                <c:pt idx="311">
                  <c:v>-83.5207236054496</c:v>
                </c:pt>
                <c:pt idx="312">
                  <c:v>-83.7846937832181</c:v>
                </c:pt>
                <c:pt idx="313">
                  <c:v>-84.0632560213105</c:v>
                </c:pt>
                <c:pt idx="314">
                  <c:v>-84.3565398022955</c:v>
                </c:pt>
                <c:pt idx="315">
                  <c:v>-84.6646534907439</c:v>
                </c:pt>
                <c:pt idx="316">
                  <c:v>-84.9876841837593</c:v>
                </c:pt>
                <c:pt idx="317">
                  <c:v>-85.3256976644829</c:v>
                </c:pt>
                <c:pt idx="318">
                  <c:v>-85.6787384573394</c:v>
                </c:pt>
                <c:pt idx="319">
                  <c:v>-86.0468299827808</c:v>
                </c:pt>
                <c:pt idx="320">
                  <c:v>-86.429974808299</c:v>
                </c:pt>
                <c:pt idx="321">
                  <c:v>-86.8281549915281</c:v>
                </c:pt>
                <c:pt idx="322">
                  <c:v>-87.2413325103843</c:v>
                </c:pt>
                <c:pt idx="323">
                  <c:v>-87.6694497743572</c:v>
                </c:pt>
                <c:pt idx="324">
                  <c:v>-88.1124302103362</c:v>
                </c:pt>
                <c:pt idx="325">
                  <c:v>-88.570178915699</c:v>
                </c:pt>
                <c:pt idx="326">
                  <c:v>-89.0425833708358</c:v>
                </c:pt>
                <c:pt idx="327">
                  <c:v>-89.5295142028338</c:v>
                </c:pt>
                <c:pt idx="328">
                  <c:v>-90.0308259917042</c:v>
                </c:pt>
                <c:pt idx="329">
                  <c:v>-90.5463581103091</c:v>
                </c:pt>
                <c:pt idx="330">
                  <c:v>-91.0759355890279</c:v>
                </c:pt>
                <c:pt idx="331">
                  <c:v>-91.6193699962203</c:v>
                </c:pt>
                <c:pt idx="332">
                  <c:v>-92.1764603256411</c:v>
                </c:pt>
                <c:pt idx="333">
                  <c:v>-92.7469938822075</c:v>
                </c:pt>
                <c:pt idx="334">
                  <c:v>-93.3307471578429</c:v>
                </c:pt>
                <c:pt idx="335">
                  <c:v>-93.9274866895599</c:v>
                </c:pt>
                <c:pt idx="336">
                  <c:v>-94.5369698924602</c:v>
                </c:pt>
                <c:pt idx="337">
                  <c:v>-95.1589458609537</c:v>
                </c:pt>
                <c:pt idx="338">
                  <c:v>-95.7931561321499</c:v>
                </c:pt>
                <c:pt idx="339">
                  <c:v>-96.439335406145</c:v>
                </c:pt>
                <c:pt idx="340">
                  <c:v>-97.0972122186913</c:v>
                </c:pt>
                <c:pt idx="341">
                  <c:v>-97.7665095625829</c:v>
                </c:pt>
                <c:pt idx="342">
                  <c:v>-98.4469454549301</c:v>
                </c:pt>
                <c:pt idx="343">
                  <c:v>-99.1382334483698</c:v>
                </c:pt>
                <c:pt idx="344">
                  <c:v>-99.8400830851292</c:v>
                </c:pt>
                <c:pt idx="345">
                  <c:v>-100.552200293713</c:v>
                </c:pt>
                <c:pt idx="346">
                  <c:v>-101.274287728828</c:v>
                </c:pt>
                <c:pt idx="347">
                  <c:v>-102.006045055962</c:v>
                </c:pt>
                <c:pt idx="348">
                  <c:v>-102.747169182804</c:v>
                </c:pt>
                <c:pt idx="349">
                  <c:v>-103.497354440418</c:v>
                </c:pt>
                <c:pt idx="350">
                  <c:v>-104.256292717715</c:v>
                </c:pt>
                <c:pt idx="351">
                  <c:v>-105.023673553395</c:v>
                </c:pt>
                <c:pt idx="352">
                  <c:v>-105.799184190051</c:v>
                </c:pt>
                <c:pt idx="353">
                  <c:v>-106.582509595542</c:v>
                </c:pt>
                <c:pt idx="354">
                  <c:v>-107.37333245717</c:v>
                </c:pt>
                <c:pt idx="355">
                  <c:v>-108.171333154433</c:v>
                </c:pt>
                <c:pt idx="356">
                  <c:v>-108.976189716357</c:v>
                </c:pt>
                <c:pt idx="357">
                  <c:v>-109.787577769523</c:v>
                </c:pt>
                <c:pt idx="358">
                  <c:v>-110.605170482932</c:v>
                </c:pt>
                <c:pt idx="359">
                  <c:v>-111.428638515802</c:v>
                </c:pt>
                <c:pt idx="360">
                  <c:v>-112.257649974259</c:v>
                </c:pt>
                <c:pt idx="361">
                  <c:v>-113.091870382648</c:v>
                </c:pt>
                <c:pt idx="362">
                  <c:v>-113.930962674931</c:v>
                </c:pt>
                <c:pt idx="363">
                  <c:v>-114.774587211235</c:v>
                </c:pt>
                <c:pt idx="364">
                  <c:v>-115.62240182419</c:v>
                </c:pt>
                <c:pt idx="365">
                  <c:v>-116.474061899217</c:v>
                </c:pt>
                <c:pt idx="366">
                  <c:v>-117.329220492356</c:v>
                </c:pt>
                <c:pt idx="367">
                  <c:v>-118.187528488617</c:v>
                </c:pt>
                <c:pt idx="368">
                  <c:v>-119.048634803227</c:v>
                </c:pt>
                <c:pt idx="369">
                  <c:v>-119.912186627464</c:v>
                </c:pt>
                <c:pt idx="370">
                  <c:v>-120.777829720055</c:v>
                </c:pt>
                <c:pt idx="371">
                  <c:v>-121.645208744478</c:v>
                </c:pt>
                <c:pt idx="372">
                  <c:v>-122.513967651738</c:v>
                </c:pt>
                <c:pt idx="373">
                  <c:v>-123.383750107544</c:v>
                </c:pt>
                <c:pt idx="374">
                  <c:v>-124.254199962133</c:v>
                </c:pt>
                <c:pt idx="375">
                  <c:v>-125.124961760333</c:v>
                </c:pt>
                <c:pt idx="376">
                  <c:v>-125.995681288866</c:v>
                </c:pt>
                <c:pt idx="377">
                  <c:v>-126.866006157354</c:v>
                </c:pt>
                <c:pt idx="378">
                  <c:v>-127.735586408948</c:v>
                </c:pt>
                <c:pt idx="379">
                  <c:v>-128.60407515613</c:v>
                </c:pt>
                <c:pt idx="380">
                  <c:v>-129.471129236804</c:v>
                </c:pt>
                <c:pt idx="381">
                  <c:v>-130.336409885569</c:v>
                </c:pt>
                <c:pt idx="382">
                  <c:v>-131.199583414799</c:v>
                </c:pt>
                <c:pt idx="383">
                  <c:v>-132.060321900041</c:v>
                </c:pt>
                <c:pt idx="384">
                  <c:v>-132.918303864219</c:v>
                </c:pt>
                <c:pt idx="385">
                  <c:v>-133.773214955088</c:v>
                </c:pt>
                <c:pt idx="386">
                  <c:v>-134.624748610553</c:v>
                </c:pt>
                <c:pt idx="387">
                  <c:v>-135.472606706601</c:v>
                </c:pt>
                <c:pt idx="388">
                  <c:v>-136.316500182852</c:v>
                </c:pt>
                <c:pt idx="389">
                  <c:v>-137.156149641039</c:v>
                </c:pt>
                <c:pt idx="390">
                  <c:v>-137.991285912061</c:v>
                </c:pt>
                <c:pt idx="391">
                  <c:v>-138.821650587723</c:v>
                </c:pt>
                <c:pt idx="392">
                  <c:v>-139.64699651363</c:v>
                </c:pt>
                <c:pt idx="393">
                  <c:v>-140.467088240258</c:v>
                </c:pt>
                <c:pt idx="394">
                  <c:v>-141.281702429676</c:v>
                </c:pt>
                <c:pt idx="395">
                  <c:v>-142.090628215915</c:v>
                </c:pt>
                <c:pt idx="396">
                  <c:v>-142.893667517482</c:v>
                </c:pt>
                <c:pt idx="397">
                  <c:v>-143.690635301041</c:v>
                </c:pt>
                <c:pt idx="398">
                  <c:v>-144.481359795766</c:v>
                </c:pt>
                <c:pt idx="399">
                  <c:v>-145.265682658345</c:v>
                </c:pt>
                <c:pt idx="400">
                  <c:v>-146.043459089076</c:v>
                </c:pt>
                <c:pt idx="401">
                  <c:v>-146.81455789992</c:v>
                </c:pt>
                <c:pt idx="402">
                  <c:v>-147.578861535737</c:v>
                </c:pt>
                <c:pt idx="403">
                  <c:v>-148.336266050326</c:v>
                </c:pt>
                <c:pt idx="404">
                  <c:v>-149.086681039163</c:v>
                </c:pt>
                <c:pt idx="405">
                  <c:v>-149.830029531004</c:v>
                </c:pt>
                <c:pt idx="406">
                  <c:v>-150.566247840774</c:v>
                </c:pt>
                <c:pt idx="407">
                  <c:v>-151.295285386306</c:v>
                </c:pt>
                <c:pt idx="408">
                  <c:v>-152.017104471678</c:v>
                </c:pt>
                <c:pt idx="409">
                  <c:v>-152.731680039962</c:v>
                </c:pt>
                <c:pt idx="410">
                  <c:v>-153.438999398285</c:v>
                </c:pt>
                <c:pt idx="411">
                  <c:v>-154.139061918133</c:v>
                </c:pt>
                <c:pt idx="412">
                  <c:v>-154.83187871381</c:v>
                </c:pt>
                <c:pt idx="413">
                  <c:v>-155.517472301939</c:v>
                </c:pt>
                <c:pt idx="414">
                  <c:v>-156.195876244839</c:v>
                </c:pt>
                <c:pt idx="415">
                  <c:v>-156.867134780505</c:v>
                </c:pt>
                <c:pt idx="416">
                  <c:v>-157.531302441844</c:v>
                </c:pt>
                <c:pt idx="417">
                  <c:v>-158.188443667669</c:v>
                </c:pt>
                <c:pt idx="418">
                  <c:v>-158.838632407846</c:v>
                </c:pt>
                <c:pt idx="419">
                  <c:v>-159.481951724803</c:v>
                </c:pt>
                <c:pt idx="420">
                  <c:v>-160.118493393515</c:v>
                </c:pt>
                <c:pt idx="421">
                  <c:v>-160.748357501851</c:v>
                </c:pt>
                <c:pt idx="422">
                  <c:v>-161.371652053049</c:v>
                </c:pt>
                <c:pt idx="423">
                  <c:v>-161.988492571924</c:v>
                </c:pt>
                <c:pt idx="424">
                  <c:v>-162.599001716212</c:v>
                </c:pt>
                <c:pt idx="425">
                  <c:v>-163.203308894327</c:v>
                </c:pt>
                <c:pt idx="426">
                  <c:v>-163.801549890638</c:v>
                </c:pt>
                <c:pt idx="427">
                  <c:v>-164.393866499217</c:v>
                </c:pt>
                <c:pt idx="428">
                  <c:v>-164.980406166867</c:v>
                </c:pt>
                <c:pt idx="429">
                  <c:v>-165.561321646094</c:v>
                </c:pt>
                <c:pt idx="430">
                  <c:v>-166.136770658565</c:v>
                </c:pt>
                <c:pt idx="431">
                  <c:v>-166.706915569449</c:v>
                </c:pt>
                <c:pt idx="432">
                  <c:v>-167.27192307294</c:v>
                </c:pt>
                <c:pt idx="433">
                  <c:v>-167.831963889151</c:v>
                </c:pt>
                <c:pt idx="434">
                  <c:v>-168.387212472441</c:v>
                </c:pt>
                <c:pt idx="435">
                  <c:v>-168.937846731184</c:v>
                </c:pt>
                <c:pt idx="436">
                  <c:v>-169.484047758865</c:v>
                </c:pt>
                <c:pt idx="437">
                  <c:v>-170.025999576341</c:v>
                </c:pt>
                <c:pt idx="438">
                  <c:v>-170.563888885011</c:v>
                </c:pt>
                <c:pt idx="439">
                  <c:v>-171.09790483059</c:v>
                </c:pt>
                <c:pt idx="440">
                  <c:v>-171.628238777114</c:v>
                </c:pt>
                <c:pt idx="441">
                  <c:v>-172.155084090768</c:v>
                </c:pt>
                <c:pt idx="442">
                  <c:v>-172.678635933056</c:v>
                </c:pt>
                <c:pt idx="443">
                  <c:v>-173.199091062823</c:v>
                </c:pt>
                <c:pt idx="444">
                  <c:v>-173.716647646578</c:v>
                </c:pt>
                <c:pt idx="445">
                  <c:v>-174.231505076558</c:v>
                </c:pt>
                <c:pt idx="446">
                  <c:v>-174.743863795919</c:v>
                </c:pt>
                <c:pt idx="447">
                  <c:v>-175.253925130446</c:v>
                </c:pt>
                <c:pt idx="448">
                  <c:v>-175.761891126139</c:v>
                </c:pt>
                <c:pt idx="449">
                  <c:v>-176.267964392004</c:v>
                </c:pt>
                <c:pt idx="450">
                  <c:v>-176.7723479474</c:v>
                </c:pt>
                <c:pt idx="451">
                  <c:v>-177.275245073234</c:v>
                </c:pt>
                <c:pt idx="452">
                  <c:v>-177.776859166333</c:v>
                </c:pt>
                <c:pt idx="453">
                  <c:v>-178.277393596278</c:v>
                </c:pt>
                <c:pt idx="454">
                  <c:v>-178.777051564006</c:v>
                </c:pt>
                <c:pt idx="455">
                  <c:v>-179.276035961464</c:v>
                </c:pt>
                <c:pt idx="456">
                  <c:v>-179.774549231622</c:v>
                </c:pt>
                <c:pt idx="457">
                  <c:v>179.727206771885</c:v>
                </c:pt>
                <c:pt idx="458">
                  <c:v>179.229030926173</c:v>
                </c:pt>
                <c:pt idx="459">
                  <c:v>178.730722982297</c:v>
                </c:pt>
                <c:pt idx="460">
                  <c:v>178.232083710895</c:v>
                </c:pt>
                <c:pt idx="461">
                  <c:v>177.732915050993</c:v>
                </c:pt>
                <c:pt idx="462">
                  <c:v>177.233020262636</c:v>
                </c:pt>
                <c:pt idx="463">
                  <c:v>176.732204084016</c:v>
                </c:pt>
                <c:pt idx="464">
                  <c:v>176.230272893752</c:v>
                </c:pt>
                <c:pt idx="465">
                  <c:v>175.72703487896</c:v>
                </c:pt>
                <c:pt idx="466">
                  <c:v>175.222300209717</c:v>
                </c:pt>
                <c:pt idx="467">
                  <c:v>174.715881220529</c:v>
                </c:pt>
                <c:pt idx="468">
                  <c:v>174.207592599355</c:v>
                </c:pt>
                <c:pt idx="469">
                  <c:v>173.697251584728</c:v>
                </c:pt>
                <c:pt idx="470">
                  <c:v>173.184678171476</c:v>
                </c:pt>
                <c:pt idx="471">
                  <c:v>172.669695325498</c:v>
                </c:pt>
                <c:pt idx="472">
                  <c:v>172.152129208022</c:v>
                </c:pt>
                <c:pt idx="473">
                  <c:v>171.631809409697</c:v>
                </c:pt>
                <c:pt idx="474">
                  <c:v>171.108569194845</c:v>
                </c:pt>
                <c:pt idx="475">
                  <c:v>170.58224575611</c:v>
                </c:pt>
                <c:pt idx="476">
                  <c:v>170.05268047969</c:v>
                </c:pt>
                <c:pt idx="477">
                  <c:v>169.519719221251</c:v>
                </c:pt>
                <c:pt idx="478">
                  <c:v>168.983212592542</c:v>
                </c:pt>
                <c:pt idx="479">
                  <c:v>168.443016258651</c:v>
                </c:pt>
                <c:pt idx="480">
                  <c:v>167.898991245704</c:v>
                </c:pt>
                <c:pt idx="481">
                  <c:v>167.351004258764</c:v>
                </c:pt>
                <c:pt idx="482">
                  <c:v>166.7989280095</c:v>
                </c:pt>
                <c:pt idx="483">
                  <c:v>166.242641553134</c:v>
                </c:pt>
                <c:pt idx="484">
                  <c:v>165.682030633997</c:v>
                </c:pt>
                <c:pt idx="485">
                  <c:v>165.116988038913</c:v>
                </c:pt>
                <c:pt idx="486">
                  <c:v>164.547413957466</c:v>
                </c:pt>
                <c:pt idx="487">
                  <c:v>163.973216348064</c:v>
                </c:pt>
                <c:pt idx="488">
                  <c:v>163.394311308538</c:v>
                </c:pt>
                <c:pt idx="489">
                  <c:v>162.810623449857</c:v>
                </c:pt>
                <c:pt idx="490">
                  <c:v>162.222086271387</c:v>
                </c:pt>
                <c:pt idx="491">
                  <c:v>161.62864253591</c:v>
                </c:pt>
                <c:pt idx="492">
                  <c:v>161.030244642492</c:v>
                </c:pt>
                <c:pt idx="493">
                  <c:v>160.426854995084</c:v>
                </c:pt>
                <c:pt idx="494">
                  <c:v>159.818446364599</c:v>
                </c:pt>
                <c:pt idx="495">
                  <c:v>159.205002242021</c:v>
                </c:pt>
                <c:pt idx="496">
                  <c:v>158.586517179971</c:v>
                </c:pt>
                <c:pt idx="497">
                  <c:v>157.962997120007</c:v>
                </c:pt>
                <c:pt idx="498">
                  <c:v>157.334459702795</c:v>
                </c:pt>
                <c:pt idx="499">
                  <c:v>156.700934558202</c:v>
                </c:pt>
                <c:pt idx="500">
                  <c:v>156.062463572261</c:v>
                </c:pt>
                <c:pt idx="501">
                  <c:v>155.419101127885</c:v>
                </c:pt>
                <c:pt idx="502">
                  <c:v>154.770914316194</c:v>
                </c:pt>
                <c:pt idx="503">
                  <c:v>154.117983115292</c:v>
                </c:pt>
                <c:pt idx="504">
                  <c:v>153.460400533372</c:v>
                </c:pt>
                <c:pt idx="505">
                  <c:v>152.798272713086</c:v>
                </c:pt>
                <c:pt idx="506">
                  <c:v>152.131718994225</c:v>
                </c:pt>
                <c:pt idx="507">
                  <c:v>151.460871931892</c:v>
                </c:pt>
                <c:pt idx="508">
                  <c:v>150.785877267549</c:v>
                </c:pt>
                <c:pt idx="509">
                  <c:v>150.106893850547</c:v>
                </c:pt>
                <c:pt idx="510">
                  <c:v>149.424093508005</c:v>
                </c:pt>
                <c:pt idx="511">
                  <c:v>148.737660861257</c:v>
                </c:pt>
                <c:pt idx="512">
                  <c:v>148.047793087403</c:v>
                </c:pt>
                <c:pt idx="513">
                  <c:v>147.354699624937</c:v>
                </c:pt>
                <c:pt idx="514">
                  <c:v>146.658601822822</c:v>
                </c:pt>
                <c:pt idx="515">
                  <c:v>145.959732532879</c:v>
                </c:pt>
                <c:pt idx="516">
                  <c:v>145.258335645823</c:v>
                </c:pt>
                <c:pt idx="517">
                  <c:v>144.554665571812</c:v>
                </c:pt>
                <c:pt idx="518">
                  <c:v>143.848986666874</c:v>
                </c:pt>
                <c:pt idx="519">
                  <c:v>143.141572607149</c:v>
                </c:pt>
                <c:pt idx="520">
                  <c:v>142.432705713373</c:v>
                </c:pt>
                <c:pt idx="521">
                  <c:v>141.722676228574</c:v>
                </c:pt>
                <c:pt idx="522">
                  <c:v>141.011781552471</c:v>
                </c:pt>
                <c:pt idx="523">
                  <c:v>140.300325436498</c:v>
                </c:pt>
                <c:pt idx="524">
                  <c:v>139.588617143861</c:v>
                </c:pt>
                <c:pt idx="525">
                  <c:v>138.876970579434</c:v>
                </c:pt>
                <c:pt idx="526">
                  <c:v>138.165703394617</c:v>
                </c:pt>
                <c:pt idx="527">
                  <c:v>137.455136072618</c:v>
                </c:pt>
                <c:pt idx="528">
                  <c:v>136.745590999833</c:v>
                </c:pt>
                <c:pt idx="529">
                  <c:v>136.03739152916</c:v>
                </c:pt>
                <c:pt idx="530">
                  <c:v>135.330861041208</c:v>
                </c:pt>
                <c:pt idx="531">
                  <c:v>134.626322009357</c:v>
                </c:pt>
                <c:pt idx="532">
                  <c:v>133.924095074619</c:v>
                </c:pt>
                <c:pt idx="533">
                  <c:v>133.224498136093</c:v>
                </c:pt>
                <c:pt idx="534">
                  <c:v>132.527845462663</c:v>
                </c:pt>
                <c:pt idx="535">
                  <c:v>131.834446831319</c:v>
                </c:pt>
                <c:pt idx="536">
                  <c:v>131.144606697177</c:v>
                </c:pt>
                <c:pt idx="537">
                  <c:v>130.458623399905</c:v>
                </c:pt>
                <c:pt idx="538">
                  <c:v>129.776788410867</c:v>
                </c:pt>
                <c:pt idx="539">
                  <c:v>129.099385624823</c:v>
                </c:pt>
                <c:pt idx="540">
                  <c:v>128.426690699562</c:v>
                </c:pt>
                <c:pt idx="541">
                  <c:v>127.758970446307</c:v>
                </c:pt>
              </c:numCache>
            </c:numRef>
          </c:yVal>
          <c:smooth val="1"/>
        </c:ser>
        <c:dLbls>
          <c:showLegendKey val="0"/>
          <c:showVal val="0"/>
          <c:showCatName val="0"/>
          <c:showSerName val="0"/>
          <c:showPercent val="0"/>
          <c:showBubbleSize val="0"/>
        </c:dLbls>
        <c:axId val="175511040"/>
        <c:axId val="175509504"/>
      </c:scatterChart>
      <c:valAx>
        <c:axId val="178188288"/>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90208"/>
        <c:crosses val="autoZero"/>
        <c:crossBetween val="midCat"/>
      </c:valAx>
      <c:valAx>
        <c:axId val="178190208"/>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188288"/>
        <c:crosses val="autoZero"/>
        <c:crossBetween val="midCat"/>
        <c:majorUnit val="20"/>
        <c:minorUnit val="10"/>
      </c:valAx>
      <c:valAx>
        <c:axId val="17551104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09504"/>
        <c:crosses val="autoZero"/>
        <c:crossBetween val="midCat"/>
      </c:valAx>
      <c:valAx>
        <c:axId val="17550950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11040"/>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9ab468d-2a4e-4a53-9b29-363742c6de08}"/>
      </c:ext>
    </c:extLst>
  </c:chart>
  <c:txPr>
    <a:bodyPr/>
    <a:lstStyle/>
    <a:p>
      <a:pPr>
        <a:defRPr lang="pl-PL"/>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Error</a:t>
            </a:r>
            <a:r>
              <a:rPr lang="en-US" baseline="0"/>
              <a:t> Amplifier Transfer</a:t>
            </a:r>
            <a:endParaRPr lang="en-US" baseline="0"/>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Loop_Modeling!$BD$19:$BD$560</c:f>
              <c:numCache>
                <c:formatCode>General</c:formatCode>
                <c:ptCount val="542"/>
                <c:pt idx="0">
                  <c:v>16.8702953784052</c:v>
                </c:pt>
                <c:pt idx="1">
                  <c:v>16.6705508882654</c:v>
                </c:pt>
                <c:pt idx="2">
                  <c:v>16.4708184238095</c:v>
                </c:pt>
                <c:pt idx="3">
                  <c:v>16.2710985502367</c:v>
                </c:pt>
                <c:pt idx="4">
                  <c:v>16.0713918592341</c:v>
                </c:pt>
                <c:pt idx="5">
                  <c:v>15.8716989702099</c:v>
                </c:pt>
                <c:pt idx="6">
                  <c:v>15.6720205315847</c:v>
                </c:pt>
                <c:pt idx="7">
                  <c:v>15.4723572221412</c:v>
                </c:pt>
                <c:pt idx="8">
                  <c:v>15.2727097524359</c:v>
                </c:pt>
                <c:pt idx="9">
                  <c:v>15.0730788662765</c:v>
                </c:pt>
                <c:pt idx="10">
                  <c:v>14.8734653422659</c:v>
                </c:pt>
                <c:pt idx="11">
                  <c:v>14.6738699954167</c:v>
                </c:pt>
                <c:pt idx="12">
                  <c:v>14.4742936788408</c:v>
                </c:pt>
                <c:pt idx="13">
                  <c:v>14.274737285514</c:v>
                </c:pt>
                <c:pt idx="14">
                  <c:v>14.0752017501228</c:v>
                </c:pt>
                <c:pt idx="15">
                  <c:v>13.8756880509935</c:v>
                </c:pt>
                <c:pt idx="16">
                  <c:v>13.6761972121104</c:v>
                </c:pt>
                <c:pt idx="17">
                  <c:v>13.4767303052234</c:v>
                </c:pt>
                <c:pt idx="18">
                  <c:v>13.2772884520529</c:v>
                </c:pt>
                <c:pt idx="19">
                  <c:v>13.0778728265921</c:v>
                </c:pt>
                <c:pt idx="20">
                  <c:v>12.8784846575148</c:v>
                </c:pt>
                <c:pt idx="21">
                  <c:v>12.6791252306895</c:v>
                </c:pt>
                <c:pt idx="22">
                  <c:v>12.4797958918073</c:v>
                </c:pt>
                <c:pt idx="23">
                  <c:v>12.2804980491263</c:v>
                </c:pt>
                <c:pt idx="24">
                  <c:v>12.0812331763393</c:v>
                </c:pt>
                <c:pt idx="25">
                  <c:v>11.8820028155672</c:v>
                </c:pt>
                <c:pt idx="26">
                  <c:v>11.6828085804869</c:v>
                </c:pt>
                <c:pt idx="27">
                  <c:v>11.4836521595959</c:v>
                </c:pt>
                <c:pt idx="28">
                  <c:v>11.2845353196209</c:v>
                </c:pt>
                <c:pt idx="29">
                  <c:v>11.0854599090761</c:v>
                </c:pt>
                <c:pt idx="30">
                  <c:v>10.8864278619768</c:v>
                </c:pt>
                <c:pt idx="31">
                  <c:v>10.6874412017147</c:v>
                </c:pt>
                <c:pt idx="32">
                  <c:v>10.4885020451012</c:v>
                </c:pt>
                <c:pt idx="33">
                  <c:v>10.289612606585</c:v>
                </c:pt>
                <c:pt idx="34">
                  <c:v>10.0907752026516</c:v>
                </c:pt>
                <c:pt idx="35">
                  <c:v>9.89199225641014</c:v>
                </c:pt>
                <c:pt idx="36">
                  <c:v>9.69326630237596</c:v>
                </c:pt>
                <c:pt idx="37">
                  <c:v>9.4945999914559</c:v>
                </c:pt>
                <c:pt idx="38">
                  <c:v>9.29599609614283</c:v>
                </c:pt>
                <c:pt idx="39">
                  <c:v>9.09745751592816</c:v>
                </c:pt>
                <c:pt idx="40">
                  <c:v>8.8989872829392</c:v>
                </c:pt>
                <c:pt idx="41">
                  <c:v>8.70058856780977</c:v>
                </c:pt>
                <c:pt idx="42">
                  <c:v>8.50226468579147</c:v>
                </c:pt>
                <c:pt idx="43">
                  <c:v>8.30401910311426</c:v>
                </c:pt>
                <c:pt idx="44">
                  <c:v>8.10585544360361</c:v>
                </c:pt>
                <c:pt idx="45">
                  <c:v>7.90777749556367</c:v>
                </c:pt>
                <c:pt idx="46">
                  <c:v>7.7097892189335</c:v>
                </c:pt>
                <c:pt idx="47">
                  <c:v>7.51189475272487</c:v>
                </c:pt>
                <c:pt idx="48">
                  <c:v>7.31409842275079</c:v>
                </c:pt>
                <c:pt idx="49">
                  <c:v>7.11640474965114</c:v>
                </c:pt>
                <c:pt idx="50">
                  <c:v>6.91881845722534</c:v>
                </c:pt>
                <c:pt idx="51">
                  <c:v>6.72134448107825</c:v>
                </c:pt>
                <c:pt idx="52">
                  <c:v>6.52398797758825</c:v>
                </c:pt>
                <c:pt idx="53">
                  <c:v>6.32675433320444</c:v>
                </c:pt>
                <c:pt idx="54">
                  <c:v>6.12964917407951</c:v>
                </c:pt>
                <c:pt idx="55">
                  <c:v>5.9326783760462</c:v>
                </c:pt>
                <c:pt idx="56">
                  <c:v>5.73584807494256</c:v>
                </c:pt>
                <c:pt idx="57">
                  <c:v>5.53916467729213</c:v>
                </c:pt>
                <c:pt idx="58">
                  <c:v>5.34263487134406</c:v>
                </c:pt>
                <c:pt idx="59">
                  <c:v>5.14626563847758</c:v>
                </c:pt>
                <c:pt idx="60">
                  <c:v>4.95006426497405</c:v>
                </c:pt>
                <c:pt idx="61">
                  <c:v>4.75403835415928</c:v>
                </c:pt>
                <c:pt idx="62">
                  <c:v>4.5581958389176</c:v>
                </c:pt>
                <c:pt idx="63">
                  <c:v>4.36254499457762</c:v>
                </c:pt>
                <c:pt idx="64">
                  <c:v>4.16709445216845</c:v>
                </c:pt>
                <c:pt idx="65">
                  <c:v>3.97185321204401</c:v>
                </c:pt>
                <c:pt idx="66">
                  <c:v>3.7768306578706</c:v>
                </c:pt>
                <c:pt idx="67">
                  <c:v>3.58203657097117</c:v>
                </c:pt>
                <c:pt idx="68">
                  <c:v>3.38748114501831</c:v>
                </c:pt>
                <c:pt idx="69">
                  <c:v>3.19317500106439</c:v>
                </c:pt>
                <c:pt idx="70">
                  <c:v>2.99912920289649</c:v>
                </c:pt>
                <c:pt idx="71">
                  <c:v>2.80535527269863</c:v>
                </c:pt>
                <c:pt idx="72">
                  <c:v>2.6118652070032</c:v>
                </c:pt>
                <c:pt idx="73">
                  <c:v>2.4186714929083</c:v>
                </c:pt>
                <c:pt idx="74">
                  <c:v>2.22578712453514</c:v>
                </c:pt>
                <c:pt idx="75">
                  <c:v>2.03322561969555</c:v>
                </c:pt>
                <c:pt idx="76">
                  <c:v>1.84100103673502</c:v>
                </c:pt>
                <c:pt idx="77">
                  <c:v>1.64912799151249</c:v>
                </c:pt>
                <c:pt idx="78">
                  <c:v>1.45762167447423</c:v>
                </c:pt>
                <c:pt idx="79">
                  <c:v>1.26649786777114</c:v>
                </c:pt>
                <c:pt idx="80">
                  <c:v>1.0757729623674</c:v>
                </c:pt>
                <c:pt idx="81">
                  <c:v>0.885463975078279</c:v>
                </c:pt>
                <c:pt idx="82">
                  <c:v>0.695588565472829</c:v>
                </c:pt>
                <c:pt idx="83">
                  <c:v>0.506165052566072</c:v>
                </c:pt>
                <c:pt idx="84">
                  <c:v>0.317212431223946</c:v>
                </c:pt>
                <c:pt idx="85">
                  <c:v>0.128750388191171</c:v>
                </c:pt>
                <c:pt idx="86">
                  <c:v>-0.0592006823497995</c:v>
                </c:pt>
                <c:pt idx="87">
                  <c:v>-0.246619663792863</c:v>
                </c:pt>
                <c:pt idx="88">
                  <c:v>-0.433484702803847</c:v>
                </c:pt>
                <c:pt idx="89">
                  <c:v>-0.619773195817124</c:v>
                </c:pt>
                <c:pt idx="90">
                  <c:v>-0.805461776458744</c:v>
                </c:pt>
                <c:pt idx="91">
                  <c:v>-0.99052630403208</c:v>
                </c:pt>
                <c:pt idx="92">
                  <c:v>-1.17494185320843</c:v>
                </c:pt>
                <c:pt idx="93">
                  <c:v>-1.35868270507544</c:v>
                </c:pt>
                <c:pt idx="94">
                  <c:v>-1.54172233970254</c:v>
                </c:pt>
                <c:pt idx="95">
                  <c:v>-1.72403343039218</c:v>
                </c:pt>
                <c:pt idx="96">
                  <c:v>-1.90558783979217</c:v>
                </c:pt>
                <c:pt idx="97">
                  <c:v>-2.08635661805236</c:v>
                </c:pt>
                <c:pt idx="98">
                  <c:v>-2.26631000321487</c:v>
                </c:pt>
                <c:pt idx="99">
                  <c:v>-2.44541742403318</c:v>
                </c:pt>
                <c:pt idx="100">
                  <c:v>-2.62364750542075</c:v>
                </c:pt>
                <c:pt idx="101">
                  <c:v>-2.8009680767316</c:v>
                </c:pt>
                <c:pt idx="102">
                  <c:v>-2.97734618308014</c:v>
                </c:pt>
                <c:pt idx="103">
                  <c:v>-3.15274809990698</c:v>
                </c:pt>
                <c:pt idx="104">
                  <c:v>-3.32713935099651</c:v>
                </c:pt>
                <c:pt idx="105">
                  <c:v>-3.50048473015042</c:v>
                </c:pt>
                <c:pt idx="106">
                  <c:v>-3.67274832671437</c:v>
                </c:pt>
                <c:pt idx="107">
                  <c:v>-3.84389355515033</c:v>
                </c:pt>
                <c:pt idx="108">
                  <c:v>-4.01388318883575</c:v>
                </c:pt>
                <c:pt idx="109">
                  <c:v>-4.18267939825711</c:v>
                </c:pt>
                <c:pt idx="110">
                  <c:v>-4.35024379375274</c:v>
                </c:pt>
                <c:pt idx="111">
                  <c:v>-4.51653747293913</c:v>
                </c:pt>
                <c:pt idx="112">
                  <c:v>-4.68152107293187</c:v>
                </c:pt>
                <c:pt idx="113">
                  <c:v>-4.84515482745151</c:v>
                </c:pt>
                <c:pt idx="114">
                  <c:v>-5.0073986288702</c:v>
                </c:pt>
                <c:pt idx="115">
                  <c:v>-5.16821209522856</c:v>
                </c:pt>
                <c:pt idx="116">
                  <c:v>-5.32755464221129</c:v>
                </c:pt>
                <c:pt idx="117">
                  <c:v>-5.48538556003675</c:v>
                </c:pt>
                <c:pt idx="118">
                  <c:v>-5.64166409516889</c:v>
                </c:pt>
                <c:pt idx="119">
                  <c:v>-5.79634953671862</c:v>
                </c:pt>
                <c:pt idx="120">
                  <c:v>-5.94940130735187</c:v>
                </c:pt>
                <c:pt idx="121">
                  <c:v>-6.10077905847483</c:v>
                </c:pt>
                <c:pt idx="122">
                  <c:v>-6.2504427694117</c:v>
                </c:pt>
                <c:pt idx="123">
                  <c:v>-6.39835285024158</c:v>
                </c:pt>
                <c:pt idx="124">
                  <c:v>-6.54447024790564</c:v>
                </c:pt>
                <c:pt idx="125">
                  <c:v>-6.68875655514418</c:v>
                </c:pt>
                <c:pt idx="126">
                  <c:v>-6.83117412177003</c:v>
                </c:pt>
                <c:pt idx="127">
                  <c:v>-6.97168616773569</c:v>
                </c:pt>
                <c:pt idx="128">
                  <c:v>-7.11025689740398</c:v>
                </c:pt>
                <c:pt idx="129">
                  <c:v>-7.24685161438662</c:v>
                </c:pt>
                <c:pt idx="130">
                  <c:v>-7.3814368362775</c:v>
                </c:pt>
                <c:pt idx="131">
                  <c:v>-7.51398040857106</c:v>
                </c:pt>
                <c:pt idx="132">
                  <c:v>-7.64445161703063</c:v>
                </c:pt>
                <c:pt idx="133">
                  <c:v>-7.77282129774743</c:v>
                </c:pt>
                <c:pt idx="134">
                  <c:v>-7.8990619441204</c:v>
                </c:pt>
                <c:pt idx="135">
                  <c:v>-8.02314780998051</c:v>
                </c:pt>
                <c:pt idx="136">
                  <c:v>-8.14505500808818</c:v>
                </c:pt>
                <c:pt idx="137">
                  <c:v>-8.26476160324414</c:v>
                </c:pt>
                <c:pt idx="138">
                  <c:v>-8.38224769927967</c:v>
                </c:pt>
                <c:pt idx="139">
                  <c:v>-8.49749551922171</c:v>
                </c:pt>
                <c:pt idx="140">
                  <c:v>-8.61048947797264</c:v>
                </c:pt>
                <c:pt idx="141">
                  <c:v>-8.72121624689343</c:v>
                </c:pt>
                <c:pt idx="142">
                  <c:v>-8.82966480974157</c:v>
                </c:pt>
                <c:pt idx="143">
                  <c:v>-8.93582650947924</c:v>
                </c:pt>
                <c:pt idx="144">
                  <c:v>-9.03969508554601</c:v>
                </c:pt>
                <c:pt idx="145">
                  <c:v>-9.1412667012675</c:v>
                </c:pt>
                <c:pt idx="146">
                  <c:v>-9.24053996116096</c:v>
                </c:pt>
                <c:pt idx="147">
                  <c:v>-9.33751591798548</c:v>
                </c:pt>
                <c:pt idx="148">
                  <c:v>-9.43219806947803</c:v>
                </c:pt>
                <c:pt idx="149">
                  <c:v>-9.52459234480968</c:v>
                </c:pt>
                <c:pt idx="150">
                  <c:v>-9.61470708088667</c:v>
                </c:pt>
                <c:pt idx="151">
                  <c:v>-9.70255298871461</c:v>
                </c:pt>
                <c:pt idx="152">
                  <c:v>-9.78814311012825</c:v>
                </c:pt>
                <c:pt idx="153">
                  <c:v>-9.87149276527375</c:v>
                </c:pt>
                <c:pt idx="154">
                  <c:v>-9.95261949130615</c:v>
                </c:pt>
                <c:pt idx="155">
                  <c:v>-10.0315429728357</c:v>
                </c:pt>
                <c:pt idx="156">
                  <c:v>-10.1082849647173</c:v>
                </c:pt>
                <c:pt idx="157">
                  <c:v>-10.1828692078335</c:v>
                </c:pt>
                <c:pt idx="158">
                  <c:v>-10.2553213385626</c:v>
                </c:pt>
                <c:pt idx="159">
                  <c:v>-10.3256687926632</c:v>
                </c:pt>
                <c:pt idx="160">
                  <c:v>-10.3939407043282</c:v>
                </c:pt>
                <c:pt idx="161">
                  <c:v>-10.4601678011793</c:v>
                </c:pt>
                <c:pt idx="162">
                  <c:v>-10.5243822959807</c:v>
                </c:pt>
                <c:pt idx="163">
                  <c:v>-10.5866177758454</c:v>
                </c:pt>
                <c:pt idx="164">
                  <c:v>-10.6469090896998</c:v>
                </c:pt>
                <c:pt idx="165">
                  <c:v>-10.7052922347527</c:v>
                </c:pt>
                <c:pt idx="166">
                  <c:v>-10.7618042426856</c:v>
                </c:pt>
                <c:pt idx="167">
                  <c:v>-10.8164830662547</c:v>
                </c:pt>
                <c:pt idx="168">
                  <c:v>-10.8693674669505</c:v>
                </c:pt>
                <c:pt idx="169">
                  <c:v>-10.9204969043238</c:v>
                </c:pt>
                <c:pt idx="170">
                  <c:v>-10.9699114275348</c:v>
                </c:pt>
                <c:pt idx="171">
                  <c:v>-11.0176515696383</c:v>
                </c:pt>
                <c:pt idx="172">
                  <c:v>-11.0637582450619</c:v>
                </c:pt>
                <c:pt idx="173">
                  <c:v>-11.1082726506836</c:v>
                </c:pt>
                <c:pt idx="174">
                  <c:v>-11.1512361708631</c:v>
                </c:pt>
                <c:pt idx="175">
                  <c:v>-11.1926902867252</c:v>
                </c:pt>
                <c:pt idx="176">
                  <c:v>-11.2326764899463</c:v>
                </c:pt>
                <c:pt idx="177">
                  <c:v>-11.2712362012424</c:v>
                </c:pt>
                <c:pt idx="178">
                  <c:v>-11.3084106937077</c:v>
                </c:pt>
                <c:pt idx="179">
                  <c:v>-11.3442410211121</c:v>
                </c:pt>
                <c:pt idx="180">
                  <c:v>-11.3787679512186</c:v>
                </c:pt>
                <c:pt idx="181">
                  <c:v>-11.4120319041431</c:v>
                </c:pt>
                <c:pt idx="182">
                  <c:v>-11.4440728957456</c:v>
                </c:pt>
                <c:pt idx="183">
                  <c:v>-11.4749304860049</c:v>
                </c:pt>
                <c:pt idx="184">
                  <c:v>-11.5046437323016</c:v>
                </c:pt>
                <c:pt idx="185">
                  <c:v>-11.5332511475084</c:v>
                </c:pt>
                <c:pt idx="186">
                  <c:v>-11.5607906627613</c:v>
                </c:pt>
                <c:pt idx="187">
                  <c:v>-11.5872995947711</c:v>
                </c:pt>
                <c:pt idx="188">
                  <c:v>-11.6128146175109</c:v>
                </c:pt>
                <c:pt idx="189">
                  <c:v>-11.6373717381099</c:v>
                </c:pt>
                <c:pt idx="190">
                  <c:v>-11.6610062767671</c:v>
                </c:pt>
                <c:pt idx="191">
                  <c:v>-11.6837528504946</c:v>
                </c:pt>
                <c:pt idx="192">
                  <c:v>-11.7056453604918</c:v>
                </c:pt>
                <c:pt idx="193">
                  <c:v>-11.7267169829526</c:v>
                </c:pt>
                <c:pt idx="194">
                  <c:v>-11.7470001631008</c:v>
                </c:pt>
                <c:pt idx="195">
                  <c:v>-11.7665266122561</c:v>
                </c:pt>
                <c:pt idx="196">
                  <c:v>-11.7853273077291</c:v>
                </c:pt>
                <c:pt idx="197">
                  <c:v>-11.8034324953509</c:v>
                </c:pt>
                <c:pt idx="198">
                  <c:v>-11.820871694448</c:v>
                </c:pt>
                <c:pt idx="199">
                  <c:v>-11.8376737050743</c:v>
                </c:pt>
                <c:pt idx="200">
                  <c:v>-11.8538666173263</c:v>
                </c:pt>
                <c:pt idx="201">
                  <c:v>-11.8694778225652</c:v>
                </c:pt>
                <c:pt idx="202">
                  <c:v>-11.884534026386</c:v>
                </c:pt>
                <c:pt idx="203">
                  <c:v>-11.8990612631772</c:v>
                </c:pt>
                <c:pt idx="204">
                  <c:v>-11.9130849121227</c:v>
                </c:pt>
                <c:pt idx="205">
                  <c:v>-11.9266297145092</c:v>
                </c:pt>
                <c:pt idx="206">
                  <c:v>-11.9397197922076</c:v>
                </c:pt>
                <c:pt idx="207">
                  <c:v>-11.9523786672081</c:v>
                </c:pt>
                <c:pt idx="208">
                  <c:v>-11.9646292820951</c:v>
                </c:pt>
                <c:pt idx="209">
                  <c:v>-11.9764940213586</c:v>
                </c:pt>
                <c:pt idx="210">
                  <c:v>-11.9879947334444</c:v>
                </c:pt>
                <c:pt idx="211">
                  <c:v>-11.9991527534553</c:v>
                </c:pt>
                <c:pt idx="212">
                  <c:v>-12.009988926423</c:v>
                </c:pt>
                <c:pt idx="213">
                  <c:v>-12.0205236310756</c:v>
                </c:pt>
                <c:pt idx="214">
                  <c:v>-12.0307768040357</c:v>
                </c:pt>
                <c:pt idx="215">
                  <c:v>-12.0407679643886</c:v>
                </c:pt>
                <c:pt idx="216">
                  <c:v>-12.0505162385669</c:v>
                </c:pt>
                <c:pt idx="217">
                  <c:v>-12.0600403855027</c:v>
                </c:pt>
                <c:pt idx="218">
                  <c:v>-12.0693588220079</c:v>
                </c:pt>
                <c:pt idx="219">
                  <c:v>-12.0784896483424</c:v>
                </c:pt>
                <c:pt idx="220">
                  <c:v>-12.087450673939</c:v>
                </c:pt>
                <c:pt idx="221">
                  <c:v>-12.096259443258</c:v>
                </c:pt>
                <c:pt idx="222">
                  <c:v>-12.1049332617449</c:v>
                </c:pt>
                <c:pt idx="223">
                  <c:v>-12.1134892218733</c:v>
                </c:pt>
                <c:pt idx="224">
                  <c:v>-12.1219442292537</c:v>
                </c:pt>
                <c:pt idx="225">
                  <c:v>-12.1303150287951</c:v>
                </c:pt>
                <c:pt idx="226">
                  <c:v>-12.1386182309061</c:v>
                </c:pt>
                <c:pt idx="227">
                  <c:v>-12.1468703377269</c:v>
                </c:pt>
                <c:pt idx="228">
                  <c:v>-12.1550877693834</c:v>
                </c:pt>
                <c:pt idx="229">
                  <c:v>-12.1632868902567</c:v>
                </c:pt>
                <c:pt idx="230">
                  <c:v>-12.1714840352626</c:v>
                </c:pt>
                <c:pt idx="231">
                  <c:v>-12.1796955361362</c:v>
                </c:pt>
                <c:pt idx="232">
                  <c:v>-12.187937747717</c:v>
                </c:pt>
                <c:pt idx="233">
                  <c:v>-12.1962270742303</c:v>
                </c:pt>
                <c:pt idx="234">
                  <c:v>-12.2045799955593</c:v>
                </c:pt>
                <c:pt idx="235">
                  <c:v>-12.2130130935035</c:v>
                </c:pt>
                <c:pt idx="236">
                  <c:v>-12.2215430780171</c:v>
                </c:pt>
                <c:pt idx="237">
                  <c:v>-12.2301868134178</c:v>
                </c:pt>
                <c:pt idx="238">
                  <c:v>-12.2389613445597</c:v>
                </c:pt>
                <c:pt idx="239">
                  <c:v>-12.2478839229555</c:v>
                </c:pt>
                <c:pt idx="240">
                  <c:v>-12.2569720328373</c:v>
                </c:pt>
                <c:pt idx="241">
                  <c:v>-12.2662434171361</c:v>
                </c:pt>
                <c:pt idx="242">
                  <c:v>-12.2757161033639</c:v>
                </c:pt>
                <c:pt idx="243">
                  <c:v>-12.2854084293722</c:v>
                </c:pt>
                <c:pt idx="244">
                  <c:v>-12.2953390689614</c:v>
                </c:pt>
                <c:pt idx="245">
                  <c:v>-12.3055270573088</c:v>
                </c:pt>
                <c:pt idx="246">
                  <c:v>-12.3159918161804</c:v>
                </c:pt>
                <c:pt idx="247">
                  <c:v>-12.3267531788846</c:v>
                </c:pt>
                <c:pt idx="248">
                  <c:v>-12.337831414921</c:v>
                </c:pt>
                <c:pt idx="249">
                  <c:v>-12.3492472542739</c:v>
                </c:pt>
                <c:pt idx="250">
                  <c:v>-12.3610219112895</c:v>
                </c:pt>
                <c:pt idx="251">
                  <c:v>-12.3731771080745</c:v>
                </c:pt>
                <c:pt idx="252">
                  <c:v>-12.3857350973421</c:v>
                </c:pt>
                <c:pt idx="253">
                  <c:v>-12.3987186846282</c:v>
                </c:pt>
                <c:pt idx="254">
                  <c:v>-12.4121512497898</c:v>
                </c:pt>
                <c:pt idx="255">
                  <c:v>-12.4260567676912</c:v>
                </c:pt>
                <c:pt idx="256">
                  <c:v>-12.4404598279774</c:v>
                </c:pt>
                <c:pt idx="257">
                  <c:v>-12.4553856538206</c:v>
                </c:pt>
                <c:pt idx="258">
                  <c:v>-12.470860119524</c:v>
                </c:pt>
                <c:pt idx="259">
                  <c:v>-12.4869097668513</c:v>
                </c:pt>
                <c:pt idx="260">
                  <c:v>-12.5035618199492</c:v>
                </c:pt>
                <c:pt idx="261">
                  <c:v>-12.5208441987148</c:v>
                </c:pt>
                <c:pt idx="262">
                  <c:v>-12.5387855304558</c:v>
                </c:pt>
                <c:pt idx="263">
                  <c:v>-12.5574151596822</c:v>
                </c:pt>
                <c:pt idx="264">
                  <c:v>-12.576763155859</c:v>
                </c:pt>
                <c:pt idx="265">
                  <c:v>-12.5968603189433</c:v>
                </c:pt>
                <c:pt idx="266">
                  <c:v>-12.6177381825237</c:v>
                </c:pt>
                <c:pt idx="267">
                  <c:v>-12.6394290143704</c:v>
                </c:pt>
                <c:pt idx="268">
                  <c:v>-12.661965814204</c:v>
                </c:pt>
                <c:pt idx="269">
                  <c:v>-12.6853823084826</c:v>
                </c:pt>
                <c:pt idx="270">
                  <c:v>-12.709712942009</c:v>
                </c:pt>
                <c:pt idx="271">
                  <c:v>-12.7349928661537</c:v>
                </c:pt>
                <c:pt idx="272">
                  <c:v>-12.7612579234957</c:v>
                </c:pt>
                <c:pt idx="273">
                  <c:v>-12.7885446286807</c:v>
                </c:pt>
                <c:pt idx="274">
                  <c:v>-12.8168901453046</c:v>
                </c:pt>
                <c:pt idx="275">
                  <c:v>-12.8463322586357</c:v>
                </c:pt>
                <c:pt idx="276">
                  <c:v>-12.8769093440005</c:v>
                </c:pt>
                <c:pt idx="277">
                  <c:v>-12.9086603306671</c:v>
                </c:pt>
                <c:pt idx="278">
                  <c:v>-12.9416246610813</c:v>
                </c:pt>
                <c:pt idx="279">
                  <c:v>-12.9758422453224</c:v>
                </c:pt>
                <c:pt idx="280">
                  <c:v>-13.0113534106745</c:v>
                </c:pt>
                <c:pt idx="281">
                  <c:v>-13.0481988462286</c:v>
                </c:pt>
                <c:pt idx="282">
                  <c:v>-13.0864195424628</c:v>
                </c:pt>
                <c:pt idx="283">
                  <c:v>-13.1260567257797</c:v>
                </c:pt>
                <c:pt idx="284">
                  <c:v>-13.1671517880136</c:v>
                </c:pt>
                <c:pt idx="285">
                  <c:v>-13.2097462109621</c:v>
                </c:pt>
                <c:pt idx="286">
                  <c:v>-13.2538814860358</c:v>
                </c:pt>
                <c:pt idx="287">
                  <c:v>-13.2995990291656</c:v>
                </c:pt>
                <c:pt idx="288">
                  <c:v>-13.3469400911558</c:v>
                </c:pt>
                <c:pt idx="289">
                  <c:v>-13.3959456637183</c:v>
                </c:pt>
                <c:pt idx="290">
                  <c:v>-13.4466563814772</c:v>
                </c:pt>
                <c:pt idx="291">
                  <c:v>-13.4991124202818</c:v>
                </c:pt>
                <c:pt idx="292">
                  <c:v>-13.5533533922259</c:v>
                </c:pt>
                <c:pt idx="293">
                  <c:v>-13.6094182378131</c:v>
                </c:pt>
                <c:pt idx="294">
                  <c:v>-13.6673451157716</c:v>
                </c:pt>
                <c:pt idx="295">
                  <c:v>-13.7271712910635</c:v>
                </c:pt>
                <c:pt idx="296">
                  <c:v>-13.7889330216843</c:v>
                </c:pt>
                <c:pt idx="297">
                  <c:v>-13.8526654448917</c:v>
                </c:pt>
                <c:pt idx="298">
                  <c:v>-13.918402463542</c:v>
                </c:pt>
                <c:pt idx="299">
                  <c:v>-13.9861766332459</c:v>
                </c:pt>
                <c:pt idx="300">
                  <c:v>-14.0560190510847</c:v>
                </c:pt>
                <c:pt idx="301">
                  <c:v>-14.1279592466454</c:v>
                </c:pt>
                <c:pt idx="302">
                  <c:v>-14.2020250761506</c:v>
                </c:pt>
                <c:pt idx="303">
                  <c:v>-14.2782426204581</c:v>
                </c:pt>
                <c:pt idx="304">
                  <c:v>-14.3566360877073</c:v>
                </c:pt>
                <c:pt idx="305">
                  <c:v>-14.4372277213675</c:v>
                </c:pt>
                <c:pt idx="306">
                  <c:v>-14.5200377144277</c:v>
                </c:pt>
                <c:pt idx="307">
                  <c:v>-14.6050841304289</c:v>
                </c:pt>
                <c:pt idx="308">
                  <c:v>-14.6923828320006</c:v>
                </c:pt>
                <c:pt idx="309">
                  <c:v>-14.7819474175104</c:v>
                </c:pt>
                <c:pt idx="310">
                  <c:v>-14.8737891663744</c:v>
                </c:pt>
                <c:pt idx="311">
                  <c:v>-14.9679169935111</c:v>
                </c:pt>
                <c:pt idx="312">
                  <c:v>-15.0643374133425</c:v>
                </c:pt>
                <c:pt idx="313">
                  <c:v>-15.1630545136673</c:v>
                </c:pt>
                <c:pt idx="314">
                  <c:v>-15.2640699396444</c:v>
                </c:pt>
                <c:pt idx="315">
                  <c:v>-15.3673828880345</c:v>
                </c:pt>
                <c:pt idx="316">
                  <c:v>-15.4729901117559</c:v>
                </c:pt>
                <c:pt idx="317">
                  <c:v>-15.5808859347189</c:v>
                </c:pt>
                <c:pt idx="318">
                  <c:v>-15.6910622768081</c:v>
                </c:pt>
                <c:pt idx="319">
                  <c:v>-15.8035086887942</c:v>
                </c:pt>
                <c:pt idx="320">
                  <c:v>-15.9182123968696</c:v>
                </c:pt>
                <c:pt idx="321">
                  <c:v>-16.035158356418</c:v>
                </c:pt>
                <c:pt idx="322">
                  <c:v>-16.1543293145532</c:v>
                </c:pt>
                <c:pt idx="323">
                  <c:v>-16.2757058808935</c:v>
                </c:pt>
                <c:pt idx="324">
                  <c:v>-16.3992666059742</c:v>
                </c:pt>
                <c:pt idx="325">
                  <c:v>-16.5249880666488</c:v>
                </c:pt>
                <c:pt idx="326">
                  <c:v>-16.6528449577855</c:v>
                </c:pt>
                <c:pt idx="327">
                  <c:v>-16.7828101895293</c:v>
                </c:pt>
                <c:pt idx="328">
                  <c:v>-16.9148549893775</c:v>
                </c:pt>
                <c:pt idx="329">
                  <c:v>-17.0489490082974</c:v>
                </c:pt>
                <c:pt idx="330">
                  <c:v>-17.1850604301114</c:v>
                </c:pt>
                <c:pt idx="331">
                  <c:v>-17.3231560833757</c:v>
                </c:pt>
                <c:pt idx="332">
                  <c:v>-17.4632015549936</c:v>
                </c:pt>
                <c:pt idx="333">
                  <c:v>-17.6051613048162</c:v>
                </c:pt>
                <c:pt idx="334">
                  <c:v>-17.7489987805197</c:v>
                </c:pt>
                <c:pt idx="335">
                  <c:v>-17.8946765320729</c:v>
                </c:pt>
                <c:pt idx="336">
                  <c:v>-18.0421563251513</c:v>
                </c:pt>
                <c:pt idx="337">
                  <c:v>-18.191399252897</c:v>
                </c:pt>
                <c:pt idx="338">
                  <c:v>-18.3423658454674</c:v>
                </c:pt>
                <c:pt idx="339">
                  <c:v>-18.4950161768704</c:v>
                </c:pt>
                <c:pt idx="340">
                  <c:v>-18.6493099686301</c:v>
                </c:pt>
                <c:pt idx="341">
                  <c:v>-18.8052066898826</c:v>
                </c:pt>
                <c:pt idx="342">
                  <c:v>-18.9626656535557</c:v>
                </c:pt>
                <c:pt idx="343">
                  <c:v>-19.121646108335</c:v>
                </c:pt>
                <c:pt idx="344">
                  <c:v>-19.2821073261745</c:v>
                </c:pt>
                <c:pt idx="345">
                  <c:v>-19.4440086851575</c:v>
                </c:pt>
                <c:pt idx="346">
                  <c:v>-19.6073097475633</c:v>
                </c:pt>
                <c:pt idx="347">
                  <c:v>-19.7719703330375</c:v>
                </c:pt>
                <c:pt idx="348">
                  <c:v>-19.9379505868113</c:v>
                </c:pt>
                <c:pt idx="349">
                  <c:v>-20.1052110429504</c:v>
                </c:pt>
                <c:pt idx="350">
                  <c:v>-20.2737126826512</c:v>
                </c:pt>
                <c:pt idx="351">
                  <c:v>-20.4434169876382</c:v>
                </c:pt>
                <c:pt idx="352">
                  <c:v>-20.6142859887403</c:v>
                </c:pt>
                <c:pt idx="353">
                  <c:v>-20.7862823097558</c:v>
                </c:pt>
                <c:pt idx="354">
                  <c:v>-20.9593692067338</c:v>
                </c:pt>
                <c:pt idx="355">
                  <c:v>-21.1335106028214</c:v>
                </c:pt>
                <c:pt idx="356">
                  <c:v>-21.3086711188433</c:v>
                </c:pt>
                <c:pt idx="357">
                  <c:v>-21.4848160997896</c:v>
                </c:pt>
                <c:pt idx="358">
                  <c:v>-21.6619116374049</c:v>
                </c:pt>
                <c:pt idx="359">
                  <c:v>-21.8399245890714</c:v>
                </c:pt>
                <c:pt idx="360">
                  <c:v>-22.0188225931911</c:v>
                </c:pt>
                <c:pt idx="361">
                  <c:v>-22.1985740812728</c:v>
                </c:pt>
                <c:pt idx="362">
                  <c:v>-22.3791482869288</c:v>
                </c:pt>
                <c:pt idx="363">
                  <c:v>-22.5605152519907</c:v>
                </c:pt>
                <c:pt idx="364">
                  <c:v>-22.7426458299451</c:v>
                </c:pt>
                <c:pt idx="365">
                  <c:v>-22.9255116868951</c:v>
                </c:pt>
                <c:pt idx="366">
                  <c:v>-23.1090853002385</c:v>
                </c:pt>
                <c:pt idx="367">
                  <c:v>-23.2933399552588</c:v>
                </c:pt>
                <c:pt idx="368">
                  <c:v>-23.4782497398102</c:v>
                </c:pt>
                <c:pt idx="369">
                  <c:v>-23.663789537275</c:v>
                </c:pt>
                <c:pt idx="370">
                  <c:v>-23.8499350179646</c:v>
                </c:pt>
                <c:pt idx="371">
                  <c:v>-24.0366626291239</c:v>
                </c:pt>
                <c:pt idx="372">
                  <c:v>-24.2239495836958</c:v>
                </c:pt>
                <c:pt idx="373">
                  <c:v>-24.4117738479882</c:v>
                </c:pt>
                <c:pt idx="374">
                  <c:v>-24.6001141283832</c:v>
                </c:pt>
                <c:pt idx="375">
                  <c:v>-24.7889498572151</c:v>
                </c:pt>
                <c:pt idx="376">
                  <c:v>-24.9782611779394</c:v>
                </c:pt>
                <c:pt idx="377">
                  <c:v>-25.1680289297027</c:v>
                </c:pt>
                <c:pt idx="378">
                  <c:v>-25.3582346314191</c:v>
                </c:pt>
                <c:pt idx="379">
                  <c:v>-25.5488604654486</c:v>
                </c:pt>
                <c:pt idx="380">
                  <c:v>-25.7398892609668</c:v>
                </c:pt>
                <c:pt idx="381">
                  <c:v>-25.9313044771061</c:v>
                </c:pt>
                <c:pt idx="382">
                  <c:v>-26.1230901859444</c:v>
                </c:pt>
                <c:pt idx="383">
                  <c:v>-26.3152310554076</c:v>
                </c:pt>
                <c:pt idx="384">
                  <c:v>-26.5077123321496</c:v>
                </c:pt>
                <c:pt idx="385">
                  <c:v>-26.7005198244628</c:v>
                </c:pt>
                <c:pt idx="386">
                  <c:v>-26.8936398852715</c:v>
                </c:pt>
                <c:pt idx="387">
                  <c:v>-27.0870593952524</c:v>
                </c:pt>
                <c:pt idx="388">
                  <c:v>-27.2807657461208</c:v>
                </c:pt>
                <c:pt idx="389">
                  <c:v>-27.4747468241194</c:v>
                </c:pt>
                <c:pt idx="390">
                  <c:v>-27.6689909937409</c:v>
                </c:pt>
                <c:pt idx="391">
                  <c:v>-27.8634870817097</c:v>
                </c:pt>
                <c:pt idx="392">
                  <c:v>-28.0582243612472</c:v>
                </c:pt>
                <c:pt idx="393">
                  <c:v>-28.2531925366421</c:v>
                </c:pt>
                <c:pt idx="394">
                  <c:v>-28.4483817281393</c:v>
                </c:pt>
                <c:pt idx="395">
                  <c:v>-28.6437824571647</c:v>
                </c:pt>
                <c:pt idx="396">
                  <c:v>-28.8393856318958</c:v>
                </c:pt>
                <c:pt idx="397">
                  <c:v>-29.0351825331865</c:v>
                </c:pt>
                <c:pt idx="398">
                  <c:v>-29.2311648008552</c:v>
                </c:pt>
                <c:pt idx="399">
                  <c:v>-29.4273244203386</c:v>
                </c:pt>
                <c:pt idx="400">
                  <c:v>-29.6236537097164</c:v>
                </c:pt>
                <c:pt idx="401">
                  <c:v>-29.8201453071072</c:v>
                </c:pt>
                <c:pt idx="402">
                  <c:v>-30.0167921584364</c:v>
                </c:pt>
                <c:pt idx="403">
                  <c:v>-30.213587505574</c:v>
                </c:pt>
                <c:pt idx="404">
                  <c:v>-30.4105248748426</c:v>
                </c:pt>
                <c:pt idx="405">
                  <c:v>-30.6075980658888</c:v>
                </c:pt>
                <c:pt idx="406">
                  <c:v>-30.8048011409166</c:v>
                </c:pt>
                <c:pt idx="407">
                  <c:v>-31.0021284142762</c:v>
                </c:pt>
                <c:pt idx="408">
                  <c:v>-31.1995744424045</c:v>
                </c:pt>
                <c:pt idx="409">
                  <c:v>-31.3971340141091</c:v>
                </c:pt>
                <c:pt idx="410">
                  <c:v>-31.5948021411906</c:v>
                </c:pt>
                <c:pt idx="411">
                  <c:v>-31.7925740493957</c:v>
                </c:pt>
                <c:pt idx="412">
                  <c:v>-31.9904451696939</c:v>
                </c:pt>
                <c:pt idx="413">
                  <c:v>-32.1884111298701</c:v>
                </c:pt>
                <c:pt idx="414">
                  <c:v>-32.3864677464245</c:v>
                </c:pt>
                <c:pt idx="415">
                  <c:v>-32.5846110167738</c:v>
                </c:pt>
                <c:pt idx="416">
                  <c:v>-32.7828371117435</c:v>
                </c:pt>
                <c:pt idx="417">
                  <c:v>-32.9811423683443</c:v>
                </c:pt>
                <c:pt idx="418">
                  <c:v>-33.1795232828233</c:v>
                </c:pt>
                <c:pt idx="419">
                  <c:v>-33.3779765039838</c:v>
                </c:pt>
                <c:pt idx="420">
                  <c:v>-33.5764988267628</c:v>
                </c:pt>
                <c:pt idx="421">
                  <c:v>-33.7750871860605</c:v>
                </c:pt>
                <c:pt idx="422">
                  <c:v>-33.9737386508123</c:v>
                </c:pt>
                <c:pt idx="423">
                  <c:v>-34.1724504182949</c:v>
                </c:pt>
                <c:pt idx="424">
                  <c:v>-34.3712198086614</c:v>
                </c:pt>
                <c:pt idx="425">
                  <c:v>-34.5700442596934</c:v>
                </c:pt>
                <c:pt idx="426">
                  <c:v>-34.7689213217667</c:v>
                </c:pt>
                <c:pt idx="427">
                  <c:v>-34.9678486530198</c:v>
                </c:pt>
                <c:pt idx="428">
                  <c:v>-35.1668240147205</c:v>
                </c:pt>
                <c:pt idx="429">
                  <c:v>-35.3658452668221</c:v>
                </c:pt>
                <c:pt idx="430">
                  <c:v>-35.5649103637017</c:v>
                </c:pt>
                <c:pt idx="431">
                  <c:v>-35.7640173500757</c:v>
                </c:pt>
                <c:pt idx="432">
                  <c:v>-35.9631643570844</c:v>
                </c:pt>
                <c:pt idx="433">
                  <c:v>-36.1623495985397</c:v>
                </c:pt>
                <c:pt idx="434">
                  <c:v>-36.3615713673304</c:v>
                </c:pt>
                <c:pt idx="435">
                  <c:v>-36.5608280319771</c:v>
                </c:pt>
                <c:pt idx="436">
                  <c:v>-36.7601180333335</c:v>
                </c:pt>
                <c:pt idx="437">
                  <c:v>-36.959439881426</c:v>
                </c:pt>
                <c:pt idx="438">
                  <c:v>-37.1587921524286</c:v>
                </c:pt>
                <c:pt idx="439">
                  <c:v>-37.3581734857644</c:v>
                </c:pt>
                <c:pt idx="440">
                  <c:v>-37.5575825813329</c:v>
                </c:pt>
                <c:pt idx="441">
                  <c:v>-37.7570181968533</c:v>
                </c:pt>
                <c:pt idx="442">
                  <c:v>-37.9564791453239</c:v>
                </c:pt>
                <c:pt idx="443">
                  <c:v>-38.1559642925891</c:v>
                </c:pt>
                <c:pt idx="444">
                  <c:v>-38.3554725550112</c:v>
                </c:pt>
                <c:pt idx="445">
                  <c:v>-38.5550028972434</c:v>
                </c:pt>
                <c:pt idx="446">
                  <c:v>-38.754554330098</c:v>
                </c:pt>
                <c:pt idx="447">
                  <c:v>-38.9541259085076</c:v>
                </c:pt>
                <c:pt idx="448">
                  <c:v>-39.1537167295742</c:v>
                </c:pt>
                <c:pt idx="449">
                  <c:v>-39.3533259307036</c:v>
                </c:pt>
                <c:pt idx="450">
                  <c:v>-39.5529526878204</c:v>
                </c:pt>
                <c:pt idx="451">
                  <c:v>-39.7525962136611</c:v>
                </c:pt>
                <c:pt idx="452">
                  <c:v>-39.9522557561418</c:v>
                </c:pt>
                <c:pt idx="453">
                  <c:v>-40.1519305967964</c:v>
                </c:pt>
                <c:pt idx="454">
                  <c:v>-40.3516200492847</c:v>
                </c:pt>
                <c:pt idx="455">
                  <c:v>-40.5513234579643</c:v>
                </c:pt>
                <c:pt idx="456">
                  <c:v>-40.7510401965263</c:v>
                </c:pt>
                <c:pt idx="457">
                  <c:v>-40.9507696666903</c:v>
                </c:pt>
                <c:pt idx="458">
                  <c:v>-41.1505112969567</c:v>
                </c:pt>
                <c:pt idx="459">
                  <c:v>-41.3502645414146</c:v>
                </c:pt>
                <c:pt idx="460">
                  <c:v>-41.5500288786012</c:v>
                </c:pt>
                <c:pt idx="461">
                  <c:v>-41.7498038104132</c:v>
                </c:pt>
                <c:pt idx="462">
                  <c:v>-41.9495888610638</c:v>
                </c:pt>
                <c:pt idx="463">
                  <c:v>-42.1493835760884</c:v>
                </c:pt>
                <c:pt idx="464">
                  <c:v>-42.3491875213923</c:v>
                </c:pt>
                <c:pt idx="465">
                  <c:v>-42.5490002823414</c:v>
                </c:pt>
                <c:pt idx="466">
                  <c:v>-42.7488214628934</c:v>
                </c:pt>
                <c:pt idx="467">
                  <c:v>-42.9486506847668</c:v>
                </c:pt>
                <c:pt idx="468">
                  <c:v>-43.1484875866474</c:v>
                </c:pt>
                <c:pt idx="469">
                  <c:v>-43.3483318234295</c:v>
                </c:pt>
                <c:pt idx="470">
                  <c:v>-43.5481830654913</c:v>
                </c:pt>
                <c:pt idx="471">
                  <c:v>-43.7480409980025</c:v>
                </c:pt>
                <c:pt idx="472">
                  <c:v>-43.9479053202617</c:v>
                </c:pt>
                <c:pt idx="473">
                  <c:v>-44.1477757450647</c:v>
                </c:pt>
                <c:pt idx="474">
                  <c:v>-44.3476519981001</c:v>
                </c:pt>
                <c:pt idx="475">
                  <c:v>-44.5475338173718</c:v>
                </c:pt>
                <c:pt idx="476">
                  <c:v>-44.7474209526477</c:v>
                </c:pt>
                <c:pt idx="477">
                  <c:v>-44.9473131649324</c:v>
                </c:pt>
                <c:pt idx="478">
                  <c:v>-45.1472102259639</c:v>
                </c:pt>
                <c:pt idx="479">
                  <c:v>-45.3471119177324</c:v>
                </c:pt>
                <c:pt idx="480">
                  <c:v>-45.547018032021</c:v>
                </c:pt>
                <c:pt idx="481">
                  <c:v>-45.7469283699663</c:v>
                </c:pt>
                <c:pt idx="482">
                  <c:v>-45.9468427416393</c:v>
                </c:pt>
                <c:pt idx="483">
                  <c:v>-46.1467609656443</c:v>
                </c:pt>
                <c:pt idx="484">
                  <c:v>-46.3466828687368</c:v>
                </c:pt>
                <c:pt idx="485">
                  <c:v>-46.5466082854569</c:v>
                </c:pt>
                <c:pt idx="486">
                  <c:v>-46.7465370577809</c:v>
                </c:pt>
                <c:pt idx="487">
                  <c:v>-46.9464690347868</c:v>
                </c:pt>
                <c:pt idx="488">
                  <c:v>-47.1464040723364</c:v>
                </c:pt>
                <c:pt idx="489">
                  <c:v>-47.3463420327699</c:v>
                </c:pt>
                <c:pt idx="490">
                  <c:v>-47.5462827846159</c:v>
                </c:pt>
                <c:pt idx="491">
                  <c:v>-47.7462262023127</c:v>
                </c:pt>
                <c:pt idx="492">
                  <c:v>-47.946172165944</c:v>
                </c:pt>
                <c:pt idx="493">
                  <c:v>-48.1461205609844</c:v>
                </c:pt>
                <c:pt idx="494">
                  <c:v>-48.3460712780575</c:v>
                </c:pt>
                <c:pt idx="495">
                  <c:v>-48.5460242127053</c:v>
                </c:pt>
                <c:pt idx="496">
                  <c:v>-48.7459792651663</c:v>
                </c:pt>
                <c:pt idx="497">
                  <c:v>-48.9459363401651</c:v>
                </c:pt>
                <c:pt idx="498">
                  <c:v>-49.1458953467109</c:v>
                </c:pt>
                <c:pt idx="499">
                  <c:v>-49.3458561979044</c:v>
                </c:pt>
                <c:pt idx="500">
                  <c:v>-49.5458188107548</c:v>
                </c:pt>
                <c:pt idx="501">
                  <c:v>-49.7457831060033</c:v>
                </c:pt>
                <c:pt idx="502">
                  <c:v>-49.9457490079562</c:v>
                </c:pt>
                <c:pt idx="503">
                  <c:v>-50.1457164443238</c:v>
                </c:pt>
                <c:pt idx="504">
                  <c:v>-50.3456853460682</c:v>
                </c:pt>
                <c:pt idx="505">
                  <c:v>-50.5456556472566</c:v>
                </c:pt>
                <c:pt idx="506">
                  <c:v>-50.745627284922</c:v>
                </c:pt>
                <c:pt idx="507">
                  <c:v>-50.9456001989297</c:v>
                </c:pt>
                <c:pt idx="508">
                  <c:v>-51.1455743318498</c:v>
                </c:pt>
                <c:pt idx="509">
                  <c:v>-51.3455496288366</c:v>
                </c:pt>
                <c:pt idx="510">
                  <c:v>-51.5455260375108</c:v>
                </c:pt>
                <c:pt idx="511">
                  <c:v>-51.7455035078497</c:v>
                </c:pt>
                <c:pt idx="512">
                  <c:v>-51.9454819920812</c:v>
                </c:pt>
                <c:pt idx="513">
                  <c:v>-52.1454614445822</c:v>
                </c:pt>
                <c:pt idx="514">
                  <c:v>-52.3454418217823</c:v>
                </c:pt>
                <c:pt idx="515">
                  <c:v>-52.545423082071</c:v>
                </c:pt>
                <c:pt idx="516">
                  <c:v>-52.74540518571</c:v>
                </c:pt>
                <c:pt idx="517">
                  <c:v>-52.9453880947491</c:v>
                </c:pt>
                <c:pt idx="518">
                  <c:v>-53.1453717729454</c:v>
                </c:pt>
                <c:pt idx="519">
                  <c:v>-53.3453561856864</c:v>
                </c:pt>
                <c:pt idx="520">
                  <c:v>-53.5453412999174</c:v>
                </c:pt>
                <c:pt idx="521">
                  <c:v>-53.7453270840707</c:v>
                </c:pt>
                <c:pt idx="522">
                  <c:v>-53.945313507999</c:v>
                </c:pt>
                <c:pt idx="523">
                  <c:v>-54.1453005429116</c:v>
                </c:pt>
                <c:pt idx="524">
                  <c:v>-54.345288161313</c:v>
                </c:pt>
                <c:pt idx="525">
                  <c:v>-54.5452763369452</c:v>
                </c:pt>
                <c:pt idx="526">
                  <c:v>-54.7452650447315</c:v>
                </c:pt>
                <c:pt idx="527">
                  <c:v>-54.9452542607238</c:v>
                </c:pt>
                <c:pt idx="528">
                  <c:v>-55.1452439620513</c:v>
                </c:pt>
                <c:pt idx="529">
                  <c:v>-55.3452341268726</c:v>
                </c:pt>
                <c:pt idx="530">
                  <c:v>-55.5452247343291</c:v>
                </c:pt>
                <c:pt idx="531">
                  <c:v>-55.7452157645007</c:v>
                </c:pt>
                <c:pt idx="532">
                  <c:v>-55.9452071983638</c:v>
                </c:pt>
                <c:pt idx="533">
                  <c:v>-56.1451990177507</c:v>
                </c:pt>
                <c:pt idx="534">
                  <c:v>-56.3451912053114</c:v>
                </c:pt>
                <c:pt idx="535">
                  <c:v>-56.5451837444768</c:v>
                </c:pt>
                <c:pt idx="536">
                  <c:v>-56.7451766194231</c:v>
                </c:pt>
                <c:pt idx="537">
                  <c:v>-56.9451698150386</c:v>
                </c:pt>
                <c:pt idx="538">
                  <c:v>-57.1451633168919</c:v>
                </c:pt>
                <c:pt idx="539">
                  <c:v>-57.345157111201</c:v>
                </c:pt>
                <c:pt idx="540">
                  <c:v>-57.5451511848038</c:v>
                </c:pt>
                <c:pt idx="541">
                  <c:v>-57.7451455251309</c:v>
                </c:pt>
              </c:numCache>
            </c:numRef>
          </c:yVal>
          <c:smooth val="1"/>
        </c:ser>
        <c:dLbls>
          <c:showLegendKey val="0"/>
          <c:showVal val="0"/>
          <c:showCatName val="0"/>
          <c:showSerName val="0"/>
          <c:showPercent val="0"/>
          <c:showBubbleSize val="0"/>
        </c:dLbls>
        <c:axId val="175558656"/>
        <c:axId val="175560576"/>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Loop_Modeling!$BE$19:$BE$560</c:f>
              <c:numCache>
                <c:formatCode>General</c:formatCode>
                <c:ptCount val="542"/>
                <c:pt idx="0">
                  <c:v>91.9828963036862</c:v>
                </c:pt>
                <c:pt idx="1">
                  <c:v>92.02904322495</c:v>
                </c:pt>
                <c:pt idx="2">
                  <c:v>92.0762621407672</c:v>
                </c:pt>
                <c:pt idx="3">
                  <c:v>92.1245778136954</c:v>
                </c:pt>
                <c:pt idx="4">
                  <c:v>92.1740155683</c:v>
                </c:pt>
                <c:pt idx="5">
                  <c:v>92.2246013031928</c:v>
                </c:pt>
                <c:pt idx="6">
                  <c:v>92.276361503277</c:v>
                </c:pt>
                <c:pt idx="7">
                  <c:v>92.3293232521975</c:v>
                </c:pt>
                <c:pt idx="8">
                  <c:v>92.3835142449962</c:v>
                </c:pt>
                <c:pt idx="9">
                  <c:v>92.4389628009694</c:v>
                </c:pt>
                <c:pt idx="10">
                  <c:v>92.4956978767291</c:v>
                </c:pt>
                <c:pt idx="11">
                  <c:v>92.5537490794615</c:v>
                </c:pt>
                <c:pt idx="12">
                  <c:v>92.6131466803837</c:v>
                </c:pt>
                <c:pt idx="13">
                  <c:v>92.6739216283941</c:v>
                </c:pt>
                <c:pt idx="14">
                  <c:v>92.7361055639115</c:v>
                </c:pt>
                <c:pt idx="15">
                  <c:v>92.7997308329002</c:v>
                </c:pt>
                <c:pt idx="16">
                  <c:v>92.8648305010749</c:v>
                </c:pt>
                <c:pt idx="17">
                  <c:v>92.9314383682789</c:v>
                </c:pt>
                <c:pt idx="18">
                  <c:v>92.99958898303</c:v>
                </c:pt>
                <c:pt idx="19">
                  <c:v>93.0693176572253</c:v>
                </c:pt>
                <c:pt idx="20">
                  <c:v>93.1406604809958</c:v>
                </c:pt>
                <c:pt idx="21">
                  <c:v>93.213654337703</c:v>
                </c:pt>
                <c:pt idx="22">
                  <c:v>93.2883369190633</c:v>
                </c:pt>
                <c:pt idx="23">
                  <c:v>93.3647467403918</c:v>
                </c:pt>
                <c:pt idx="24">
                  <c:v>93.4429231559482</c:v>
                </c:pt>
                <c:pt idx="25">
                  <c:v>93.5229063743733</c:v>
                </c:pt>
                <c:pt idx="26">
                  <c:v>93.6047374741974</c:v>
                </c:pt>
                <c:pt idx="27">
                  <c:v>93.6884584194039</c:v>
                </c:pt>
                <c:pt idx="28">
                  <c:v>93.7741120750271</c:v>
                </c:pt>
                <c:pt idx="29">
                  <c:v>93.8617422227643</c:v>
                </c:pt>
                <c:pt idx="30">
                  <c:v>93.9513935765773</c:v>
                </c:pt>
                <c:pt idx="31">
                  <c:v>94.0431117982581</c:v>
                </c:pt>
                <c:pt idx="32">
                  <c:v>94.1369435129307</c:v>
                </c:pt>
                <c:pt idx="33">
                  <c:v>94.2329363244587</c:v>
                </c:pt>
                <c:pt idx="34">
                  <c:v>94.3311388307263</c:v>
                </c:pt>
                <c:pt idx="35">
                  <c:v>94.4316006387557</c:v>
                </c:pt>
                <c:pt idx="36">
                  <c:v>94.5343723796234</c:v>
                </c:pt>
                <c:pt idx="37">
                  <c:v>94.6395057231335</c:v>
                </c:pt>
                <c:pt idx="38">
                  <c:v>94.7470533922024</c:v>
                </c:pt>
                <c:pt idx="39">
                  <c:v>94.8570691769067</c:v>
                </c:pt>
                <c:pt idx="40">
                  <c:v>94.9696079481413</c:v>
                </c:pt>
                <c:pt idx="41">
                  <c:v>95.0847256708332</c:v>
                </c:pt>
                <c:pt idx="42">
                  <c:v>95.202479416647</c:v>
                </c:pt>
                <c:pt idx="43">
                  <c:v>95.322927376121</c:v>
                </c:pt>
                <c:pt idx="44">
                  <c:v>95.4461288701609</c:v>
                </c:pt>
                <c:pt idx="45">
                  <c:v>95.5721443608178</c:v>
                </c:pt>
                <c:pt idx="46">
                  <c:v>95.7010354612703</c:v>
                </c:pt>
                <c:pt idx="47">
                  <c:v>95.8328649449241</c:v>
                </c:pt>
                <c:pt idx="48">
                  <c:v>95.9676967535384</c:v>
                </c:pt>
                <c:pt idx="49">
                  <c:v>96.1055960042805</c:v>
                </c:pt>
                <c:pt idx="50">
                  <c:v>96.2466289956042</c:v>
                </c:pt>
                <c:pt idx="51">
                  <c:v>96.3908632118417</c:v>
                </c:pt>
                <c:pt idx="52">
                  <c:v>96.5383673263881</c:v>
                </c:pt>
                <c:pt idx="53">
                  <c:v>96.6892112033549</c:v>
                </c:pt>
                <c:pt idx="54">
                  <c:v>96.843465897557</c:v>
                </c:pt>
                <c:pt idx="55">
                  <c:v>97.001203652691</c:v>
                </c:pt>
                <c:pt idx="56">
                  <c:v>97.1624978975539</c:v>
                </c:pt>
                <c:pt idx="57">
                  <c:v>97.3274232401424</c:v>
                </c:pt>
                <c:pt idx="58">
                  <c:v>97.4960554594638</c:v>
                </c:pt>
                <c:pt idx="59">
                  <c:v>97.6684714948777</c:v>
                </c:pt>
                <c:pt idx="60">
                  <c:v>97.8447494327828</c:v>
                </c:pt>
                <c:pt idx="61">
                  <c:v>98.0249684904459</c:v>
                </c:pt>
                <c:pt idx="62">
                  <c:v>98.2092089967668</c:v>
                </c:pt>
                <c:pt idx="63">
                  <c:v>98.3975523697544</c:v>
                </c:pt>
                <c:pt idx="64">
                  <c:v>98.5900810904867</c:v>
                </c:pt>
                <c:pt idx="65">
                  <c:v>98.7868786733076</c:v>
                </c:pt>
                <c:pt idx="66">
                  <c:v>98.9880296320086</c:v>
                </c:pt>
                <c:pt idx="67">
                  <c:v>99.1936194417284</c:v>
                </c:pt>
                <c:pt idx="68">
                  <c:v>99.403734496293</c:v>
                </c:pt>
                <c:pt idx="69">
                  <c:v>99.6184620607079</c:v>
                </c:pt>
                <c:pt idx="70">
                  <c:v>99.8378902185009</c:v>
                </c:pt>
                <c:pt idx="71">
                  <c:v>100.062107813606</c:v>
                </c:pt>
                <c:pt idx="72">
                  <c:v>100.291204386463</c:v>
                </c:pt>
                <c:pt idx="73">
                  <c:v>100.525270104009</c:v>
                </c:pt>
                <c:pt idx="74">
                  <c:v>100.764395683203</c:v>
                </c:pt>
                <c:pt idx="75">
                  <c:v>101.008672307756</c:v>
                </c:pt>
                <c:pt idx="76">
                  <c:v>101.258191537684</c:v>
                </c:pt>
                <c:pt idx="77">
                  <c:v>101.513045211341</c:v>
                </c:pt>
                <c:pt idx="78">
                  <c:v>101.773325339544</c:v>
                </c:pt>
                <c:pt idx="79">
                  <c:v>102.03912399142</c:v>
                </c:pt>
                <c:pt idx="80">
                  <c:v>102.310533171609</c:v>
                </c:pt>
                <c:pt idx="81">
                  <c:v>102.587644688436</c:v>
                </c:pt>
                <c:pt idx="82">
                  <c:v>102.870550012676</c:v>
                </c:pt>
                <c:pt idx="83">
                  <c:v>103.159340126559</c:v>
                </c:pt>
                <c:pt idx="84">
                  <c:v>103.454105362642</c:v>
                </c:pt>
                <c:pt idx="85">
                  <c:v>103.75493523221</c:v>
                </c:pt>
                <c:pt idx="86">
                  <c:v>104.061918242862</c:v>
                </c:pt>
                <c:pt idx="87">
                  <c:v>104.375141704992</c:v>
                </c:pt>
                <c:pt idx="88">
                  <c:v>104.694691526855</c:v>
                </c:pt>
                <c:pt idx="89">
                  <c:v>105.020651997983</c:v>
                </c:pt>
                <c:pt idx="90">
                  <c:v>105.353105560712</c:v>
                </c:pt>
                <c:pt idx="91">
                  <c:v>105.692132569653</c:v>
                </c:pt>
                <c:pt idx="92">
                  <c:v>106.03781103897</c:v>
                </c:pt>
                <c:pt idx="93">
                  <c:v>106.390216377385</c:v>
                </c:pt>
                <c:pt idx="94">
                  <c:v>106.749421110903</c:v>
                </c:pt>
                <c:pt idx="95">
                  <c:v>107.115494593301</c:v>
                </c:pt>
                <c:pt idx="96">
                  <c:v>107.488502704519</c:v>
                </c:pt>
                <c:pt idx="97">
                  <c:v>107.868507537165</c:v>
                </c:pt>
                <c:pt idx="98">
                  <c:v>108.255567071446</c:v>
                </c:pt>
                <c:pt idx="99">
                  <c:v>108.64973483894</c:v>
                </c:pt>
                <c:pt idx="100">
                  <c:v>109.051059575728</c:v>
                </c:pt>
                <c:pt idx="101">
                  <c:v>109.459584865535</c:v>
                </c:pt>
                <c:pt idx="102">
                  <c:v>109.875348773645</c:v>
                </c:pt>
                <c:pt idx="103">
                  <c:v>110.298383472508</c:v>
                </c:pt>
                <c:pt idx="104">
                  <c:v>110.728714860078</c:v>
                </c:pt>
                <c:pt idx="105">
                  <c:v>111.166362172092</c:v>
                </c:pt>
                <c:pt idx="106">
                  <c:v>111.611337589651</c:v>
                </c:pt>
                <c:pt idx="107">
                  <c:v>112.063645843613</c:v>
                </c:pt>
                <c:pt idx="108">
                  <c:v>112.523283817497</c:v>
                </c:pt>
                <c:pt idx="109">
                  <c:v>112.990240150743</c:v>
                </c:pt>
                <c:pt idx="110">
                  <c:v>113.46449484435</c:v>
                </c:pt>
                <c:pt idx="111">
                  <c:v>113.946018871088</c:v>
                </c:pt>
                <c:pt idx="112">
                  <c:v>114.434773792618</c:v>
                </c:pt>
                <c:pt idx="113">
                  <c:v>114.930711386051</c:v>
                </c:pt>
                <c:pt idx="114">
                  <c:v>115.433773282577</c:v>
                </c:pt>
                <c:pt idx="115">
                  <c:v>115.94389062096</c:v>
                </c:pt>
                <c:pt idx="116">
                  <c:v>116.460983718821</c:v>
                </c:pt>
                <c:pt idx="117">
                  <c:v>116.984961764698</c:v>
                </c:pt>
                <c:pt idx="118">
                  <c:v>117.515722533984</c:v>
                </c:pt>
                <c:pt idx="119">
                  <c:v>118.053152131898</c:v>
                </c:pt>
                <c:pt idx="120">
                  <c:v>118.597124766641</c:v>
                </c:pt>
                <c:pt idx="121">
                  <c:v>119.147502555921</c:v>
                </c:pt>
                <c:pt idx="122">
                  <c:v>119.70413536997</c:v>
                </c:pt>
                <c:pt idx="123">
                  <c:v>120.266860714103</c:v>
                </c:pt>
                <c:pt idx="124">
                  <c:v>120.835503653761</c:v>
                </c:pt>
                <c:pt idx="125">
                  <c:v>121.409876784815</c:v>
                </c:pt>
                <c:pt idx="126">
                  <c:v>121.989780251712</c:v>
                </c:pt>
                <c:pt idx="127">
                  <c:v>122.575001815797</c:v>
                </c:pt>
                <c:pt idx="128">
                  <c:v>123.165316975866</c:v>
                </c:pt>
                <c:pt idx="129">
                  <c:v>123.760489142672</c:v>
                </c:pt>
                <c:pt idx="130">
                  <c:v>124.360269868732</c:v>
                </c:pt>
                <c:pt idx="131">
                  <c:v>124.964399134383</c:v>
                </c:pt>
                <c:pt idx="132">
                  <c:v>125.572605690589</c:v>
                </c:pt>
                <c:pt idx="133">
                  <c:v>126.184607458526</c:v>
                </c:pt>
                <c:pt idx="134">
                  <c:v>126.80011198548</c:v>
                </c:pt>
                <c:pt idx="135">
                  <c:v>127.418816956069</c:v>
                </c:pt>
                <c:pt idx="136">
                  <c:v>128.040410757275</c:v>
                </c:pt>
                <c:pt idx="137">
                  <c:v>128.664573095241</c:v>
                </c:pt>
                <c:pt idx="138">
                  <c:v>129.290975661253</c:v>
                </c:pt>
                <c:pt idx="139">
                  <c:v>129.919282843805</c:v>
                </c:pt>
                <c:pt idx="140">
                  <c:v>130.549152483159</c:v>
                </c:pt>
                <c:pt idx="141">
                  <c:v>131.180236664324</c:v>
                </c:pt>
                <c:pt idx="142">
                  <c:v>131.812182543964</c:v>
                </c:pt>
                <c:pt idx="143">
                  <c:v>132.444633206323</c:v>
                </c:pt>
                <c:pt idx="144">
                  <c:v>133.077228542967</c:v>
                </c:pt>
                <c:pt idx="145">
                  <c:v>133.709606150803</c:v>
                </c:pt>
                <c:pt idx="146">
                  <c:v>134.341402242654</c:v>
                </c:pt>
                <c:pt idx="147">
                  <c:v>134.972252564521</c:v>
                </c:pt>
                <c:pt idx="148">
                  <c:v>135.601793313544</c:v>
                </c:pt>
                <c:pt idx="149">
                  <c:v>136.229662050712</c:v>
                </c:pt>
                <c:pt idx="150">
                  <c:v>136.85549860239</c:v>
                </c:pt>
                <c:pt idx="151">
                  <c:v>137.478945944892</c:v>
                </c:pt>
                <c:pt idx="152">
                  <c:v>138.099651066517</c:v>
                </c:pt>
                <c:pt idx="153">
                  <c:v>138.717265801719</c:v>
                </c:pt>
                <c:pt idx="154">
                  <c:v>139.331447632435</c:v>
                </c:pt>
                <c:pt idx="155">
                  <c:v>139.941860451929</c:v>
                </c:pt>
                <c:pt idx="156">
                  <c:v>140.548175286968</c:v>
                </c:pt>
                <c:pt idx="157">
                  <c:v>141.150070974596</c:v>
                </c:pt>
                <c:pt idx="158">
                  <c:v>141.747234790236</c:v>
                </c:pt>
                <c:pt idx="159">
                  <c:v>142.339363024429</c:v>
                </c:pt>
                <c:pt idx="160">
                  <c:v>142.926161505968</c:v>
                </c:pt>
                <c:pt idx="161">
                  <c:v>143.507346069778</c:v>
                </c:pt>
                <c:pt idx="162">
                  <c:v>144.082642968403</c:v>
                </c:pt>
                <c:pt idx="163">
                  <c:v>144.651789226472</c:v>
                </c:pt>
                <c:pt idx="164">
                  <c:v>145.214532938044</c:v>
                </c:pt>
                <c:pt idx="165">
                  <c:v>145.770633507186</c:v>
                </c:pt>
                <c:pt idx="166">
                  <c:v>146.319861832618</c:v>
                </c:pt>
                <c:pt idx="167">
                  <c:v>146.862000437648</c:v>
                </c:pt>
                <c:pt idx="168">
                  <c:v>147.396843547029</c:v>
                </c:pt>
                <c:pt idx="169">
                  <c:v>147.924197112687</c:v>
                </c:pt>
                <c:pt idx="170">
                  <c:v>148.443878790591</c:v>
                </c:pt>
                <c:pt idx="171">
                  <c:v>148.955717871271</c:v>
                </c:pt>
                <c:pt idx="172">
                  <c:v>149.459555166708</c:v>
                </c:pt>
                <c:pt idx="173">
                  <c:v>149.955242856515</c:v>
                </c:pt>
                <c:pt idx="174">
                  <c:v>150.442644296399</c:v>
                </c:pt>
                <c:pt idx="175">
                  <c:v>150.921633792053</c:v>
                </c:pt>
                <c:pt idx="176">
                  <c:v>151.392096341615</c:v>
                </c:pt>
                <c:pt idx="177">
                  <c:v>151.853927349881</c:v>
                </c:pt>
                <c:pt idx="178">
                  <c:v>152.307032317435</c:v>
                </c:pt>
                <c:pt idx="179">
                  <c:v>152.751326507801</c:v>
                </c:pt>
                <c:pt idx="180">
                  <c:v>153.186734595669</c:v>
                </c:pt>
                <c:pt idx="181">
                  <c:v>153.613190299124</c:v>
                </c:pt>
                <c:pt idx="182">
                  <c:v>154.030635998725</c:v>
                </c:pt>
                <c:pt idx="183">
                  <c:v>154.439022346128</c:v>
                </c:pt>
                <c:pt idx="184">
                  <c:v>154.838307864807</c:v>
                </c:pt>
                <c:pt idx="185">
                  <c:v>155.228458545287</c:v>
                </c:pt>
                <c:pt idx="186">
                  <c:v>155.60944743712</c:v>
                </c:pt>
                <c:pt idx="187">
                  <c:v>155.981254239697</c:v>
                </c:pt>
                <c:pt idx="188">
                  <c:v>156.343864893798</c:v>
                </c:pt>
                <c:pt idx="189">
                  <c:v>156.697271175638</c:v>
                </c:pt>
                <c:pt idx="190">
                  <c:v>157.041470294972</c:v>
                </c:pt>
                <c:pt idx="191">
                  <c:v>157.376464498701</c:v>
                </c:pt>
                <c:pt idx="192">
                  <c:v>157.702260681215</c:v>
                </c:pt>
                <c:pt idx="193">
                  <c:v>158.018870002609</c:v>
                </c:pt>
                <c:pt idx="194">
                  <c:v>158.326307515721</c:v>
                </c:pt>
                <c:pt idx="195">
                  <c:v>158.624591802829</c:v>
                </c:pt>
                <c:pt idx="196">
                  <c:v>158.913744622705</c:v>
                </c:pt>
                <c:pt idx="197">
                  <c:v>159.193790568614</c:v>
                </c:pt>
                <c:pt idx="198">
                  <c:v>159.464756737711</c:v>
                </c:pt>
                <c:pt idx="199">
                  <c:v>159.72667241222</c:v>
                </c:pt>
                <c:pt idx="200">
                  <c:v>159.97956875266</c:v>
                </c:pt>
                <c:pt idx="201">
                  <c:v>160.223478503296</c:v>
                </c:pt>
                <c:pt idx="202">
                  <c:v>160.45843570994</c:v>
                </c:pt>
                <c:pt idx="203">
                  <c:v>160.684475450128</c:v>
                </c:pt>
                <c:pt idx="204">
                  <c:v>160.901633575664</c:v>
                </c:pt>
                <c:pt idx="205">
                  <c:v>161.109946467449</c:v>
                </c:pt>
                <c:pt idx="206">
                  <c:v>161.309450802477</c:v>
                </c:pt>
                <c:pt idx="207">
                  <c:v>161.500183332841</c:v>
                </c:pt>
                <c:pt idx="208">
                  <c:v>161.68218067655</c:v>
                </c:pt>
                <c:pt idx="209">
                  <c:v>161.855479119944</c:v>
                </c:pt>
                <c:pt idx="210">
                  <c:v>162.020114431452</c:v>
                </c:pt>
                <c:pt idx="211">
                  <c:v>162.17612168645</c:v>
                </c:pt>
                <c:pt idx="212">
                  <c:v>162.323535102925</c:v>
                </c:pt>
                <c:pt idx="213">
                  <c:v>162.462387887689</c:v>
                </c:pt>
                <c:pt idx="214">
                  <c:v>162.59271209284</c:v>
                </c:pt>
                <c:pt idx="215">
                  <c:v>162.714538482191</c:v>
                </c:pt>
                <c:pt idx="216">
                  <c:v>162.827896407383</c:v>
                </c:pt>
                <c:pt idx="217">
                  <c:v>162.93281369341</c:v>
                </c:pt>
                <c:pt idx="218">
                  <c:v>163.029316533277</c:v>
                </c:pt>
                <c:pt idx="219">
                  <c:v>163.117429391535</c:v>
                </c:pt>
                <c:pt idx="220">
                  <c:v>163.197174916449</c:v>
                </c:pt>
                <c:pt idx="221">
                  <c:v>163.268573860561</c:v>
                </c:pt>
                <c:pt idx="222">
                  <c:v>163.331645009429</c:v>
                </c:pt>
                <c:pt idx="223">
                  <c:v>163.386405118343</c:v>
                </c:pt>
                <c:pt idx="224">
                  <c:v>163.432868856833</c:v>
                </c:pt>
                <c:pt idx="225">
                  <c:v>163.471048760809</c:v>
                </c:pt>
                <c:pt idx="226">
                  <c:v>163.500955192178</c:v>
                </c:pt>
                <c:pt idx="227">
                  <c:v>163.522596305828</c:v>
                </c:pt>
                <c:pt idx="228">
                  <c:v>163.535978023862</c:v>
                </c:pt>
                <c:pt idx="229">
                  <c:v>163.541104017011</c:v>
                </c:pt>
                <c:pt idx="230">
                  <c:v>163.537975693169</c:v>
                </c:pt>
                <c:pt idx="231">
                  <c:v>163.526592193001</c:v>
                </c:pt>
                <c:pt idx="232">
                  <c:v>163.50695039262</c:v>
                </c:pt>
                <c:pt idx="233">
                  <c:v>163.479044913344</c:v>
                </c:pt>
                <c:pt idx="234">
                  <c:v>163.442868138554</c:v>
                </c:pt>
                <c:pt idx="235">
                  <c:v>163.398410237709</c:v>
                </c:pt>
                <c:pt idx="236">
                  <c:v>163.345659197609</c:v>
                </c:pt>
                <c:pt idx="237">
                  <c:v>163.284600860976</c:v>
                </c:pt>
                <c:pt idx="238">
                  <c:v>163.215218972499</c:v>
                </c:pt>
                <c:pt idx="239">
                  <c:v>163.137495232457</c:v>
                </c:pt>
                <c:pt idx="240">
                  <c:v>163.051409358109</c:v>
                </c:pt>
                <c:pt idx="241">
                  <c:v>162.956939153002</c:v>
                </c:pt>
                <c:pt idx="242">
                  <c:v>162.85406058441</c:v>
                </c:pt>
                <c:pt idx="243">
                  <c:v>162.742747869115</c:v>
                </c:pt>
                <c:pt idx="244">
                  <c:v>162.62297356776</c:v>
                </c:pt>
                <c:pt idx="245">
                  <c:v>162.494708688019</c:v>
                </c:pt>
                <c:pt idx="246">
                  <c:v>162.357922796837</c:v>
                </c:pt>
                <c:pt idx="247">
                  <c:v>162.212584142016</c:v>
                </c:pt>
                <c:pt idx="248">
                  <c:v>162.058659783415</c:v>
                </c:pt>
                <c:pt idx="249">
                  <c:v>161.896115734046</c:v>
                </c:pt>
                <c:pt idx="250">
                  <c:v>161.724917111366</c:v>
                </c:pt>
                <c:pt idx="251">
                  <c:v>161.545028299021</c:v>
                </c:pt>
                <c:pt idx="252">
                  <c:v>161.356413119354</c:v>
                </c:pt>
                <c:pt idx="253">
                  <c:v>161.159035016935</c:v>
                </c:pt>
                <c:pt idx="254">
                  <c:v>160.95285725338</c:v>
                </c:pt>
                <c:pt idx="255">
                  <c:v>160.737843113702</c:v>
                </c:pt>
                <c:pt idx="256">
                  <c:v>160.513956124429</c:v>
                </c:pt>
                <c:pt idx="257">
                  <c:v>160.281160283689</c:v>
                </c:pt>
                <c:pt idx="258">
                  <c:v>160.039420303419</c:v>
                </c:pt>
                <c:pt idx="259">
                  <c:v>159.788701863842</c:v>
                </c:pt>
                <c:pt idx="260">
                  <c:v>159.528971880292</c:v>
                </c:pt>
                <c:pt idx="261">
                  <c:v>159.260198782419</c:v>
                </c:pt>
                <c:pt idx="262">
                  <c:v>158.982352805758</c:v>
                </c:pt>
                <c:pt idx="263">
                  <c:v>158.695406295555</c:v>
                </c:pt>
                <c:pt idx="264">
                  <c:v>158.3993340227</c:v>
                </c:pt>
                <c:pt idx="265">
                  <c:v>158.094113511502</c:v>
                </c:pt>
                <c:pt idx="266">
                  <c:v>157.779725378975</c:v>
                </c:pt>
                <c:pt idx="267">
                  <c:v>157.456153685181</c:v>
                </c:pt>
                <c:pt idx="268">
                  <c:v>157.123386294089</c:v>
                </c:pt>
                <c:pt idx="269">
                  <c:v>156.781415244268</c:v>
                </c:pt>
                <c:pt idx="270">
                  <c:v>156.430237128621</c:v>
                </c:pt>
                <c:pt idx="271">
                  <c:v>156.069853482233</c:v>
                </c:pt>
                <c:pt idx="272">
                  <c:v>155.700271177243</c:v>
                </c:pt>
                <c:pt idx="273">
                  <c:v>155.321502823532</c:v>
                </c:pt>
                <c:pt idx="274">
                  <c:v>154.933567173835</c:v>
                </c:pt>
                <c:pt idx="275">
                  <c:v>154.53648953174</c:v>
                </c:pt>
                <c:pt idx="276">
                  <c:v>154.130302160865</c:v>
                </c:pt>
                <c:pt idx="277">
                  <c:v>153.715044693353</c:v>
                </c:pt>
                <c:pt idx="278">
                  <c:v>153.290764535618</c:v>
                </c:pt>
                <c:pt idx="279">
                  <c:v>152.857517269176</c:v>
                </c:pt>
                <c:pt idx="280">
                  <c:v>152.415367044158</c:v>
                </c:pt>
                <c:pt idx="281">
                  <c:v>151.964386963006</c:v>
                </c:pt>
                <c:pt idx="282">
                  <c:v>151.50465945168</c:v>
                </c:pt>
                <c:pt idx="283">
                  <c:v>151.03627661557</c:v>
                </c:pt>
                <c:pt idx="284">
                  <c:v>150.5593405772</c:v>
                </c:pt>
                <c:pt idx="285">
                  <c:v>150.073963792701</c:v>
                </c:pt>
                <c:pt idx="286">
                  <c:v>149.580269343956</c:v>
                </c:pt>
                <c:pt idx="287">
                  <c:v>149.078391203266</c:v>
                </c:pt>
                <c:pt idx="288">
                  <c:v>148.568474467363</c:v>
                </c:pt>
                <c:pt idx="289">
                  <c:v>148.05067555759</c:v>
                </c:pt>
                <c:pt idx="290">
                  <c:v>147.525162383147</c:v>
                </c:pt>
                <c:pt idx="291">
                  <c:v>146.992114464307</c:v>
                </c:pt>
                <c:pt idx="292">
                  <c:v>146.451723012725</c:v>
                </c:pt>
                <c:pt idx="293">
                  <c:v>145.904190966022</c:v>
                </c:pt>
                <c:pt idx="294">
                  <c:v>145.349732974096</c:v>
                </c:pt>
                <c:pt idx="295">
                  <c:v>144.788575334836</c:v>
                </c:pt>
                <c:pt idx="296">
                  <c:v>144.22095587719</c:v>
                </c:pt>
                <c:pt idx="297">
                  <c:v>143.647123789889</c:v>
                </c:pt>
                <c:pt idx="298">
                  <c:v>143.067339394501</c:v>
                </c:pt>
                <c:pt idx="299">
                  <c:v>142.481873861872</c:v>
                </c:pt>
                <c:pt idx="300">
                  <c:v>141.891008871493</c:v>
                </c:pt>
                <c:pt idx="301">
                  <c:v>141.295036213775</c:v>
                </c:pt>
                <c:pt idx="302">
                  <c:v>140.694257335737</c:v>
                </c:pt>
                <c:pt idx="303">
                  <c:v>140.088982831101</c:v>
                </c:pt>
                <c:pt idx="304">
                  <c:v>139.479531876355</c:v>
                </c:pt>
                <c:pt idx="305">
                  <c:v>138.866231614845</c:v>
                </c:pt>
                <c:pt idx="306">
                  <c:v>138.249416491498</c:v>
                </c:pt>
                <c:pt idx="307">
                  <c:v>137.629427541321</c:v>
                </c:pt>
                <c:pt idx="308">
                  <c:v>137.00661163526</c:v>
                </c:pt>
                <c:pt idx="309">
                  <c:v>136.381320687544</c:v>
                </c:pt>
                <c:pt idx="310">
                  <c:v>135.753910829014</c:v>
                </c:pt>
                <c:pt idx="311">
                  <c:v>135.124741551355</c:v>
                </c:pt>
                <c:pt idx="312">
                  <c:v>134.494174827475</c:v>
                </c:pt>
                <c:pt idx="313">
                  <c:v>133.862574213556</c:v>
                </c:pt>
                <c:pt idx="314">
                  <c:v>133.230303938513</c:v>
                </c:pt>
                <c:pt idx="315">
                  <c:v>132.597727986756</c:v>
                </c:pt>
                <c:pt idx="316">
                  <c:v>131.965209180212</c:v>
                </c:pt>
                <c:pt idx="317">
                  <c:v>131.333108265588</c:v>
                </c:pt>
                <c:pt idx="318">
                  <c:v>130.701783012774</c:v>
                </c:pt>
                <c:pt idx="319">
                  <c:v>130.071587330174</c:v>
                </c:pt>
                <c:pt idx="320">
                  <c:v>129.442870402518</c:v>
                </c:pt>
                <c:pt idx="321">
                  <c:v>128.815975856469</c:v>
                </c:pt>
                <c:pt idx="322">
                  <c:v>128.191240959011</c:v>
                </c:pt>
                <c:pt idx="323">
                  <c:v>127.568995853194</c:v>
                </c:pt>
                <c:pt idx="324">
                  <c:v>126.949562835438</c:v>
                </c:pt>
                <c:pt idx="325">
                  <c:v>126.333255678097</c:v>
                </c:pt>
                <c:pt idx="326">
                  <c:v>125.720379000503</c:v>
                </c:pt>
                <c:pt idx="327">
                  <c:v>125.111227691195</c:v>
                </c:pt>
                <c:pt idx="328">
                  <c:v>124.506086383517</c:v>
                </c:pt>
                <c:pt idx="329">
                  <c:v>123.90522898622</c:v>
                </c:pt>
                <c:pt idx="330">
                  <c:v>123.308918270189</c:v>
                </c:pt>
                <c:pt idx="331">
                  <c:v>122.717405511875</c:v>
                </c:pt>
                <c:pt idx="332">
                  <c:v>122.130930193539</c:v>
                </c:pt>
                <c:pt idx="333">
                  <c:v>121.549719759893</c:v>
                </c:pt>
                <c:pt idx="334">
                  <c:v>120.973989430333</c:v>
                </c:pt>
                <c:pt idx="335">
                  <c:v>120.403942065462</c:v>
                </c:pt>
                <c:pt idx="336">
                  <c:v>119.839768086309</c:v>
                </c:pt>
                <c:pt idx="337">
                  <c:v>119.281645444244</c:v>
                </c:pt>
                <c:pt idx="338">
                  <c:v>118.729739639322</c:v>
                </c:pt>
                <c:pt idx="339">
                  <c:v>118.184203784538</c:v>
                </c:pt>
                <c:pt idx="340">
                  <c:v>117.645178713246</c:v>
                </c:pt>
                <c:pt idx="341">
                  <c:v>117.112793126853</c:v>
                </c:pt>
                <c:pt idx="342">
                  <c:v>116.587163779743</c:v>
                </c:pt>
                <c:pt idx="343">
                  <c:v>116.068395698339</c:v>
                </c:pt>
                <c:pt idx="344">
                  <c:v>115.556582431115</c:v>
                </c:pt>
                <c:pt idx="345">
                  <c:v>115.051806326411</c:v>
                </c:pt>
                <c:pt idx="346">
                  <c:v>114.554138834873</c:v>
                </c:pt>
                <c:pt idx="347">
                  <c:v>114.063640833425</c:v>
                </c:pt>
                <c:pt idx="348">
                  <c:v>113.580362967743</c:v>
                </c:pt>
                <c:pt idx="349">
                  <c:v>113.104346010282</c:v>
                </c:pt>
                <c:pt idx="350">
                  <c:v>112.635621231054</c:v>
                </c:pt>
                <c:pt idx="351">
                  <c:v>112.174210778448</c:v>
                </c:pt>
                <c:pt idx="352">
                  <c:v>111.720128067579</c:v>
                </c:pt>
                <c:pt idx="353">
                  <c:v>111.273378173742</c:v>
                </c:pt>
                <c:pt idx="354">
                  <c:v>110.833958228772</c:v>
                </c:pt>
                <c:pt idx="355">
                  <c:v>110.401857818228</c:v>
                </c:pt>
                <c:pt idx="356">
                  <c:v>109.977059377526</c:v>
                </c:pt>
                <c:pt idx="357">
                  <c:v>109.559538585268</c:v>
                </c:pt>
                <c:pt idx="358">
                  <c:v>109.149264752239</c:v>
                </c:pt>
                <c:pt idx="359">
                  <c:v>108.746201204643</c:v>
                </c:pt>
                <c:pt idx="360">
                  <c:v>108.350305660364</c:v>
                </c:pt>
                <c:pt idx="361">
                  <c:v>107.961530597145</c:v>
                </c:pt>
                <c:pt idx="362">
                  <c:v>107.579823611761</c:v>
                </c:pt>
                <c:pt idx="363">
                  <c:v>107.205127769364</c:v>
                </c:pt>
                <c:pt idx="364">
                  <c:v>106.837381942341</c:v>
                </c:pt>
                <c:pt idx="365">
                  <c:v>106.476521138125</c:v>
                </c:pt>
                <c:pt idx="366">
                  <c:v>106.122476815522</c:v>
                </c:pt>
                <c:pt idx="367">
                  <c:v>105.775177189221</c:v>
                </c:pt>
                <c:pt idx="368">
                  <c:v>105.434547522247</c:v>
                </c:pt>
                <c:pt idx="369">
                  <c:v>105.100510406208</c:v>
                </c:pt>
                <c:pt idx="370">
                  <c:v>104.77298602926</c:v>
                </c:pt>
                <c:pt idx="371">
                  <c:v>104.451892431793</c:v>
                </c:pt>
                <c:pt idx="372">
                  <c:v>104.137145749905</c:v>
                </c:pt>
                <c:pt idx="373">
                  <c:v>103.828660446774</c:v>
                </c:pt>
                <c:pt idx="374">
                  <c:v>103.526349532102</c:v>
                </c:pt>
                <c:pt idx="375">
                  <c:v>103.230124769848</c:v>
                </c:pt>
                <c:pt idx="376">
                  <c:v>102.93989687448</c:v>
                </c:pt>
                <c:pt idx="377">
                  <c:v>102.655575696054</c:v>
                </c:pt>
                <c:pt idx="378">
                  <c:v>102.377070394396</c:v>
                </c:pt>
                <c:pt idx="379">
                  <c:v>102.104289602734</c:v>
                </c:pt>
                <c:pt idx="380">
                  <c:v>101.837141581117</c:v>
                </c:pt>
                <c:pt idx="381">
                  <c:v>101.575534359972</c:v>
                </c:pt>
                <c:pt idx="382">
                  <c:v>101.319375874178</c:v>
                </c:pt>
                <c:pt idx="383">
                  <c:v>101.068574088015</c:v>
                </c:pt>
                <c:pt idx="384">
                  <c:v>100.823037111373</c:v>
                </c:pt>
                <c:pt idx="385">
                  <c:v>100.582673307594</c:v>
                </c:pt>
                <c:pt idx="386">
                  <c:v>100.347391393324</c:v>
                </c:pt>
                <c:pt idx="387">
                  <c:v>100.11710053074</c:v>
                </c:pt>
                <c:pt idx="388">
                  <c:v>99.8917104125288</c:v>
                </c:pt>
                <c:pt idx="389">
                  <c:v>99.6711313399704</c:v>
                </c:pt>
                <c:pt idx="390">
                  <c:v>99.4552742944823</c:v>
                </c:pt>
                <c:pt idx="391">
                  <c:v>99.2440510029663</c:v>
                </c:pt>
                <c:pt idx="392">
                  <c:v>99.0373739972947</c:v>
                </c:pt>
                <c:pt idx="393">
                  <c:v>98.8351566682596</c:v>
                </c:pt>
                <c:pt idx="394">
                  <c:v>98.6373133142987</c:v>
                </c:pt>
                <c:pt idx="395">
                  <c:v>98.4437591853023</c:v>
                </c:pt>
                <c:pt idx="396">
                  <c:v>98.2544105217902</c:v>
                </c:pt>
                <c:pt idx="397">
                  <c:v>98.0691845897422</c:v>
                </c:pt>
                <c:pt idx="398">
                  <c:v>97.887999711349</c:v>
                </c:pt>
                <c:pt idx="399">
                  <c:v>97.7107752919402</c:v>
                </c:pt>
                <c:pt idx="400">
                  <c:v>97.5374318433375</c:v>
                </c:pt>
                <c:pt idx="401">
                  <c:v>97.3678910038649</c:v>
                </c:pt>
                <c:pt idx="402">
                  <c:v>97.2020755552416</c:v>
                </c:pt>
                <c:pt idx="403">
                  <c:v>97.0399094365689</c:v>
                </c:pt>
                <c:pt idx="404">
                  <c:v>96.8813177556118</c:v>
                </c:pt>
                <c:pt idx="405">
                  <c:v>96.7262267975702</c:v>
                </c:pt>
                <c:pt idx="406">
                  <c:v>96.5745640315169</c:v>
                </c:pt>
                <c:pt idx="407">
                  <c:v>96.426258114677</c:v>
                </c:pt>
                <c:pt idx="408">
                  <c:v>96.2812388947097</c:v>
                </c:pt>
                <c:pt idx="409">
                  <c:v>96.1394374101451</c:v>
                </c:pt>
                <c:pt idx="410">
                  <c:v>96.0007858891225</c:v>
                </c:pt>
                <c:pt idx="411">
                  <c:v>95.8652177465635</c:v>
                </c:pt>
                <c:pt idx="412">
                  <c:v>95.7326675799099</c:v>
                </c:pt>
                <c:pt idx="413">
                  <c:v>95.6030711635464</c:v>
                </c:pt>
                <c:pt idx="414">
                  <c:v>95.4763654420205</c:v>
                </c:pt>
                <c:pt idx="415">
                  <c:v>95.3524885221665</c:v>
                </c:pt>
                <c:pt idx="416">
                  <c:v>95.2313796642326</c:v>
                </c:pt>
                <c:pt idx="417">
                  <c:v>95.1129792721043</c:v>
                </c:pt>
                <c:pt idx="418">
                  <c:v>94.9972288827116</c:v>
                </c:pt>
                <c:pt idx="419">
                  <c:v>94.8840711547012</c:v>
                </c:pt>
                <c:pt idx="420">
                  <c:v>94.7734498564498</c:v>
                </c:pt>
                <c:pt idx="421">
                  <c:v>94.6653098534894</c:v>
                </c:pt>
                <c:pt idx="422">
                  <c:v>94.5595970954116</c:v>
                </c:pt>
                <c:pt idx="423">
                  <c:v>94.4562586023113</c:v>
                </c:pt>
                <c:pt idx="424">
                  <c:v>94.3552424508283</c:v>
                </c:pt>
                <c:pt idx="425">
                  <c:v>94.2564977598393</c:v>
                </c:pt>
                <c:pt idx="426">
                  <c:v>94.1599746758505</c:v>
                </c:pt>
                <c:pt idx="427">
                  <c:v>94.0656243581359</c:v>
                </c:pt>
                <c:pt idx="428">
                  <c:v>93.9733989636653</c:v>
                </c:pt>
                <c:pt idx="429">
                  <c:v>93.8832516318587</c:v>
                </c:pt>
                <c:pt idx="430">
                  <c:v>93.7951364692072</c:v>
                </c:pt>
                <c:pt idx="431">
                  <c:v>93.7090085337906</c:v>
                </c:pt>
                <c:pt idx="432">
                  <c:v>93.6248238197242</c:v>
                </c:pt>
                <c:pt idx="433">
                  <c:v>93.5425392415642</c:v>
                </c:pt>
                <c:pt idx="434">
                  <c:v>93.4621126186956</c:v>
                </c:pt>
                <c:pt idx="435">
                  <c:v>93.3835026597289</c:v>
                </c:pt>
                <c:pt idx="436">
                  <c:v>93.3066689469263</c:v>
                </c:pt>
                <c:pt idx="437">
                  <c:v>93.2315719206781</c:v>
                </c:pt>
                <c:pt idx="438">
                  <c:v>93.1581728640477</c:v>
                </c:pt>
                <c:pt idx="439">
                  <c:v>93.086433887402</c:v>
                </c:pt>
                <c:pt idx="440">
                  <c:v>93.0163179131415</c:v>
                </c:pt>
                <c:pt idx="441">
                  <c:v>92.9477886605462</c:v>
                </c:pt>
                <c:pt idx="442">
                  <c:v>92.8808106307466</c:v>
                </c:pt>
                <c:pt idx="443">
                  <c:v>92.8153490918344</c:v>
                </c:pt>
                <c:pt idx="444">
                  <c:v>92.7513700641197</c:v>
                </c:pt>
                <c:pt idx="445">
                  <c:v>92.688840305547</c:v>
                </c:pt>
                <c:pt idx="446">
                  <c:v>92.6277272972746</c:v>
                </c:pt>
                <c:pt idx="447">
                  <c:v>92.5679992294282</c:v>
                </c:pt>
                <c:pt idx="448">
                  <c:v>92.5096249870311</c:v>
                </c:pt>
                <c:pt idx="449">
                  <c:v>92.4525741361198</c:v>
                </c:pt>
                <c:pt idx="450">
                  <c:v>92.3968169100477</c:v>
                </c:pt>
                <c:pt idx="451">
                  <c:v>92.3423241959813</c:v>
                </c:pt>
                <c:pt idx="452">
                  <c:v>92.2890675215928</c:v>
                </c:pt>
                <c:pt idx="453">
                  <c:v>92.2370190419518</c:v>
                </c:pt>
                <c:pt idx="454">
                  <c:v>92.1861515266178</c:v>
                </c:pt>
                <c:pt idx="455">
                  <c:v>92.1364383469359</c:v>
                </c:pt>
                <c:pt idx="456">
                  <c:v>92.0878534635368</c:v>
                </c:pt>
                <c:pt idx="457">
                  <c:v>92.0403714140424</c:v>
                </c:pt>
                <c:pt idx="458">
                  <c:v>91.9939673009767</c:v>
                </c:pt>
                <c:pt idx="459">
                  <c:v>91.948616779883</c:v>
                </c:pt>
                <c:pt idx="460">
                  <c:v>91.904296047647</c:v>
                </c:pt>
                <c:pt idx="461">
                  <c:v>91.860981831025</c:v>
                </c:pt>
                <c:pt idx="462">
                  <c:v>91.8186513753775</c:v>
                </c:pt>
                <c:pt idx="463">
                  <c:v>91.7772824336058</c:v>
                </c:pt>
                <c:pt idx="464">
                  <c:v>91.736853255292</c:v>
                </c:pt>
                <c:pt idx="465">
                  <c:v>91.6973425760393</c:v>
                </c:pt>
                <c:pt idx="466">
                  <c:v>91.6587296070135</c:v>
                </c:pt>
                <c:pt idx="467">
                  <c:v>91.6209940246807</c:v>
                </c:pt>
                <c:pt idx="468">
                  <c:v>91.5841159607427</c:v>
                </c:pt>
                <c:pt idx="469">
                  <c:v>91.5480759922659</c:v>
                </c:pt>
                <c:pt idx="470">
                  <c:v>91.5128551320019</c:v>
                </c:pt>
                <c:pt idx="471">
                  <c:v>91.4784348188989</c:v>
                </c:pt>
                <c:pt idx="472">
                  <c:v>91.4447969087998</c:v>
                </c:pt>
                <c:pt idx="473">
                  <c:v>91.4119236653258</c:v>
                </c:pt>
                <c:pt idx="474">
                  <c:v>91.3797977509427</c:v>
                </c:pt>
                <c:pt idx="475">
                  <c:v>91.3484022182073</c:v>
                </c:pt>
                <c:pt idx="476">
                  <c:v>91.3177205011915</c:v>
                </c:pt>
                <c:pt idx="477">
                  <c:v>91.2877364070817</c:v>
                </c:pt>
                <c:pt idx="478">
                  <c:v>91.2584341079497</c:v>
                </c:pt>
                <c:pt idx="479">
                  <c:v>91.2297981326945</c:v>
                </c:pt>
                <c:pt idx="480">
                  <c:v>91.2018133591501</c:v>
                </c:pt>
                <c:pt idx="481">
                  <c:v>91.174465006358</c:v>
                </c:pt>
                <c:pt idx="482">
                  <c:v>91.1477386270014</c:v>
                </c:pt>
                <c:pt idx="483">
                  <c:v>91.1216200999981</c:v>
                </c:pt>
                <c:pt idx="484">
                  <c:v>91.0960956232496</c:v>
                </c:pt>
                <c:pt idx="485">
                  <c:v>91.0711517065431</c:v>
                </c:pt>
                <c:pt idx="486">
                  <c:v>91.0467751646054</c:v>
                </c:pt>
                <c:pt idx="487">
                  <c:v>91.0229531103031</c:v>
                </c:pt>
                <c:pt idx="488">
                  <c:v>90.9996729479897</c:v>
                </c:pt>
                <c:pt idx="489">
                  <c:v>90.976922366994</c:v>
                </c:pt>
                <c:pt idx="490">
                  <c:v>90.9546893352497</c:v>
                </c:pt>
                <c:pt idx="491">
                  <c:v>90.9329620930609</c:v>
                </c:pt>
                <c:pt idx="492">
                  <c:v>90.9117291470035</c:v>
                </c:pt>
                <c:pt idx="493">
                  <c:v>90.890979263958</c:v>
                </c:pt>
                <c:pt idx="494">
                  <c:v>90.8707014652723</c:v>
                </c:pt>
                <c:pt idx="495">
                  <c:v>90.8508850210513</c:v>
                </c:pt>
                <c:pt idx="496">
                  <c:v>90.8315194445708</c:v>
                </c:pt>
                <c:pt idx="497">
                  <c:v>90.8125944868139</c:v>
                </c:pt>
                <c:pt idx="498">
                  <c:v>90.794100131127</c:v>
                </c:pt>
                <c:pt idx="499">
                  <c:v>90.7760265879921</c:v>
                </c:pt>
                <c:pt idx="500">
                  <c:v>90.7583642899154</c:v>
                </c:pt>
                <c:pt idx="501">
                  <c:v>90.7411038864273</c:v>
                </c:pt>
                <c:pt idx="502">
                  <c:v>90.7242362391928</c:v>
                </c:pt>
                <c:pt idx="503">
                  <c:v>90.7077524172301</c:v>
                </c:pt>
                <c:pt idx="504">
                  <c:v>90.6916436922348</c:v>
                </c:pt>
                <c:pt idx="505">
                  <c:v>90.6759015340075</c:v>
                </c:pt>
                <c:pt idx="506">
                  <c:v>90.6605176059825</c:v>
                </c:pt>
                <c:pt idx="507">
                  <c:v>90.6454837608564</c:v>
                </c:pt>
                <c:pt idx="508">
                  <c:v>90.6307920363132</c:v>
                </c:pt>
                <c:pt idx="509">
                  <c:v>90.6164346508446</c:v>
                </c:pt>
                <c:pt idx="510">
                  <c:v>90.6024039996637</c:v>
                </c:pt>
                <c:pt idx="511">
                  <c:v>90.5886926507092</c:v>
                </c:pt>
                <c:pt idx="512">
                  <c:v>90.5752933407395</c:v>
                </c:pt>
                <c:pt idx="513">
                  <c:v>90.5621989715129</c:v>
                </c:pt>
                <c:pt idx="514">
                  <c:v>90.5494026060545</c:v>
                </c:pt>
                <c:pt idx="515">
                  <c:v>90.5368974650058</c:v>
                </c:pt>
                <c:pt idx="516">
                  <c:v>90.5246769230557</c:v>
                </c:pt>
                <c:pt idx="517">
                  <c:v>90.5127345054526</c:v>
                </c:pt>
                <c:pt idx="518">
                  <c:v>90.5010638845936</c:v>
                </c:pt>
                <c:pt idx="519">
                  <c:v>90.4896588766906</c:v>
                </c:pt>
                <c:pt idx="520">
                  <c:v>90.4785134385117</c:v>
                </c:pt>
                <c:pt idx="521">
                  <c:v>90.4676216641947</c:v>
                </c:pt>
                <c:pt idx="522">
                  <c:v>90.4569777821337</c:v>
                </c:pt>
                <c:pt idx="523">
                  <c:v>90.4465761519343</c:v>
                </c:pt>
                <c:pt idx="524">
                  <c:v>90.4364112614382</c:v>
                </c:pt>
                <c:pt idx="525">
                  <c:v>90.4264777238145</c:v>
                </c:pt>
                <c:pt idx="526">
                  <c:v>90.4167702747166</c:v>
                </c:pt>
                <c:pt idx="527">
                  <c:v>90.4072837695031</c:v>
                </c:pt>
                <c:pt idx="528">
                  <c:v>90.3980131805211</c:v>
                </c:pt>
                <c:pt idx="529">
                  <c:v>90.3889535944518</c:v>
                </c:pt>
                <c:pt idx="530">
                  <c:v>90.3801002097145</c:v>
                </c:pt>
                <c:pt idx="531">
                  <c:v>90.3714483339301</c:v>
                </c:pt>
                <c:pt idx="532">
                  <c:v>90.3629933814422</c:v>
                </c:pt>
                <c:pt idx="533">
                  <c:v>90.3547308708932</c:v>
                </c:pt>
                <c:pt idx="534">
                  <c:v>90.3466564228563</c:v>
                </c:pt>
                <c:pt idx="535">
                  <c:v>90.3387657575197</c:v>
                </c:pt>
                <c:pt idx="536">
                  <c:v>90.3310546924246</c:v>
                </c:pt>
                <c:pt idx="537">
                  <c:v>90.3235191402535</c:v>
                </c:pt>
                <c:pt idx="538">
                  <c:v>90.3161551066685</c:v>
                </c:pt>
                <c:pt idx="539">
                  <c:v>90.3089586881989</c:v>
                </c:pt>
                <c:pt idx="540">
                  <c:v>90.3019260701768</c:v>
                </c:pt>
                <c:pt idx="541">
                  <c:v>90.2950535247185</c:v>
                </c:pt>
              </c:numCache>
            </c:numRef>
          </c:yVal>
          <c:smooth val="1"/>
        </c:ser>
        <c:dLbls>
          <c:showLegendKey val="0"/>
          <c:showVal val="0"/>
          <c:showCatName val="0"/>
          <c:showSerName val="0"/>
          <c:showPercent val="0"/>
          <c:showBubbleSize val="0"/>
        </c:dLbls>
        <c:axId val="175568384"/>
        <c:axId val="175566848"/>
      </c:scatterChart>
      <c:valAx>
        <c:axId val="17555865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0576"/>
        <c:crosses val="autoZero"/>
        <c:crossBetween val="midCat"/>
      </c:valAx>
      <c:valAx>
        <c:axId val="17556057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58656"/>
        <c:crosses val="autoZero"/>
        <c:crossBetween val="midCat"/>
        <c:majorUnit val="20"/>
        <c:minorUnit val="10"/>
      </c:valAx>
      <c:valAx>
        <c:axId val="1755683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6848"/>
        <c:crosses val="autoZero"/>
        <c:crossBetween val="midCat"/>
      </c:valAx>
      <c:valAx>
        <c:axId val="175566848"/>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568384"/>
        <c:crosses val="max"/>
        <c:crossBetween val="midCat"/>
        <c:majorUnit val="90"/>
        <c:minorUnit val="45"/>
      </c:valAx>
    </c:plotArea>
    <c:legend>
      <c:legendPos val="r"/>
      <c:layout>
        <c:manualLayout>
          <c:xMode val="edge"/>
          <c:yMode val="edge"/>
          <c:x val="0.798805582095125"/>
          <c:y val="0.14321997959862"/>
          <c:w val="0.134850481555914"/>
          <c:h val="0.105286249699137"/>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51ba628-39a9-4006-b0f5-1dd1637f385b}"/>
      </c:ext>
    </c:extLst>
  </c:chart>
  <c:txPr>
    <a:bodyPr/>
    <a:lstStyle/>
    <a:p>
      <a:pPr>
        <a:defRPr lang="pl-PL"/>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CCM Control Loop Transfer Function</a:t>
            </a:r>
            <a:endParaRPr lang="en-US" baseline="0"/>
          </a:p>
        </c:rich>
      </c:tx>
      <c:layout/>
      <c:overlay val="0"/>
    </c:title>
    <c:autoTitleDeleted val="0"/>
    <c:plotArea>
      <c:layout/>
      <c:scatterChart>
        <c:scatterStyle val="smooth"/>
        <c:varyColors val="0"/>
        <c:ser>
          <c:idx val="0"/>
          <c:order val="0"/>
          <c:tx>
            <c:strRef>
              <c:f>"Gain (dB)"</c:f>
              <c:strCache>
                <c:ptCount val="1"/>
                <c:pt idx="0">
                  <c:v>Gain (dB)</c:v>
                </c:pt>
              </c:strCache>
            </c:strRef>
          </c:tx>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Loop_Modeling!$BG$19:$BG$560</c:f>
              <c:numCache>
                <c:formatCode>0.000</c:formatCode>
                <c:ptCount val="542"/>
                <c:pt idx="0">
                  <c:v>54.323892951374</c:v>
                </c:pt>
                <c:pt idx="1">
                  <c:v>54.1219166768084</c:v>
                </c:pt>
                <c:pt idx="2">
                  <c:v>53.919848476038</c:v>
                </c:pt>
                <c:pt idx="3">
                  <c:v>53.7176841322702</c:v>
                </c:pt>
                <c:pt idx="4">
                  <c:v>53.5154192409183</c:v>
                </c:pt>
                <c:pt idx="5">
                  <c:v>53.3130492017745</c:v>
                </c:pt>
                <c:pt idx="6">
                  <c:v>53.1105692109103</c:v>
                </c:pt>
                <c:pt idx="7">
                  <c:v>52.9079742522967</c:v>
                </c:pt>
                <c:pt idx="8">
                  <c:v>52.7052590891412</c:v>
                </c:pt>
                <c:pt idx="9">
                  <c:v>52.5024182549403</c:v>
                </c:pt>
                <c:pt idx="10">
                  <c:v>52.299446044241</c:v>
                </c:pt>
                <c:pt idx="11">
                  <c:v>52.0963365031125</c:v>
                </c:pt>
                <c:pt idx="12">
                  <c:v>51.8930834193269</c:v>
                </c:pt>
                <c:pt idx="13">
                  <c:v>51.6896803122462</c:v>
                </c:pt>
                <c:pt idx="14">
                  <c:v>51.4861204224209</c:v>
                </c:pt>
                <c:pt idx="15">
                  <c:v>51.2823967008982</c:v>
                </c:pt>
                <c:pt idx="16">
                  <c:v>51.0785017982479</c:v>
                </c:pt>
                <c:pt idx="17">
                  <c:v>50.8744280533077</c:v>
                </c:pt>
                <c:pt idx="18">
                  <c:v>50.6701674816575</c:v>
                </c:pt>
                <c:pt idx="19">
                  <c:v>50.4657117638307</c:v>
                </c:pt>
                <c:pt idx="20">
                  <c:v>50.2610522332743</c:v>
                </c:pt>
                <c:pt idx="21">
                  <c:v>50.0561798640705</c:v>
                </c:pt>
                <c:pt idx="22">
                  <c:v>49.8510852584364</c:v>
                </c:pt>
                <c:pt idx="23">
                  <c:v>49.6457586340212</c:v>
                </c:pt>
                <c:pt idx="24">
                  <c:v>49.4401898110214</c:v>
                </c:pt>
                <c:pt idx="25">
                  <c:v>49.2343681991402</c:v>
                </c:pt>
                <c:pt idx="26">
                  <c:v>49.0282827844203</c:v>
                </c:pt>
                <c:pt idx="27">
                  <c:v>48.8219221159812</c:v>
                </c:pt>
                <c:pt idx="28">
                  <c:v>48.6152742926987</c:v>
                </c:pt>
                <c:pt idx="29">
                  <c:v>48.4083269498686</c:v>
                </c:pt>
                <c:pt idx="30">
                  <c:v>48.2010672458984</c:v>
                </c:pt>
                <c:pt idx="31">
                  <c:v>47.9934818490808</c:v>
                </c:pt>
                <c:pt idx="32">
                  <c:v>47.7855569245033</c:v>
                </c:pt>
                <c:pt idx="33">
                  <c:v>47.5772781211576</c:v>
                </c:pt>
                <c:pt idx="34">
                  <c:v>47.3686305593174</c:v>
                </c:pt>
                <c:pt idx="35">
                  <c:v>47.1595988182577</c:v>
                </c:pt>
                <c:pt idx="36">
                  <c:v>46.9501669244002</c:v>
                </c:pt>
                <c:pt idx="37">
                  <c:v>46.7403183399712</c:v>
                </c:pt>
                <c:pt idx="38">
                  <c:v>46.5300359522691</c:v>
                </c:pt>
                <c:pt idx="39">
                  <c:v>46.3193020636467</c:v>
                </c:pt>
                <c:pt idx="40">
                  <c:v>46.1080983823172</c:v>
                </c:pt>
                <c:pt idx="41">
                  <c:v>45.8964060141075</c:v>
                </c:pt>
                <c:pt idx="42">
                  <c:v>45.6842054552843</c:v>
                </c:pt>
                <c:pt idx="43">
                  <c:v>45.4714765865923</c:v>
                </c:pt>
                <c:pt idx="44">
                  <c:v>45.258198668647</c:v>
                </c:pt>
                <c:pt idx="45">
                  <c:v>45.0443503388391</c:v>
                </c:pt>
                <c:pt idx="46">
                  <c:v>44.8299096099104</c:v>
                </c:pt>
                <c:pt idx="47">
                  <c:v>44.6148538703732</c:v>
                </c:pt>
                <c:pt idx="48">
                  <c:v>44.3991598869501</c:v>
                </c:pt>
                <c:pt idx="49">
                  <c:v>44.182803809222</c:v>
                </c:pt>
                <c:pt idx="50">
                  <c:v>43.9657611766748</c:v>
                </c:pt>
                <c:pt idx="51">
                  <c:v>43.7480069283454</c:v>
                </c:pt>
                <c:pt idx="52">
                  <c:v>43.5295154152709</c:v>
                </c:pt>
                <c:pt idx="53">
                  <c:v>43.3102604159493</c:v>
                </c:pt>
                <c:pt idx="54">
                  <c:v>43.0902151550224</c:v>
                </c:pt>
                <c:pt idx="55">
                  <c:v>42.8693523253968</c:v>
                </c:pt>
                <c:pt idx="56">
                  <c:v>42.6476441140127</c:v>
                </c:pt>
                <c:pt idx="57">
                  <c:v>42.4250622314742</c:v>
                </c:pt>
                <c:pt idx="58">
                  <c:v>42.2015779457472</c:v>
                </c:pt>
                <c:pt idx="59">
                  <c:v>41.9771621201265</c:v>
                </c:pt>
                <c:pt idx="60">
                  <c:v>41.7517852556639</c:v>
                </c:pt>
                <c:pt idx="61">
                  <c:v>41.5254175382378</c:v>
                </c:pt>
                <c:pt idx="62">
                  <c:v>41.2980288904313</c:v>
                </c:pt>
                <c:pt idx="63">
                  <c:v>41.0695890283667</c:v>
                </c:pt>
                <c:pt idx="64">
                  <c:v>40.8400675236232</c:v>
                </c:pt>
                <c:pt idx="65">
                  <c:v>40.6094338703441</c:v>
                </c:pt>
                <c:pt idx="66">
                  <c:v>40.3776575576048</c:v>
                </c:pt>
                <c:pt idx="67">
                  <c:v>40.1447081470894</c:v>
                </c:pt>
                <c:pt idx="68">
                  <c:v>39.910555356082</c:v>
                </c:pt>
                <c:pt idx="69">
                  <c:v>39.6751691457438</c:v>
                </c:pt>
                <c:pt idx="70">
                  <c:v>39.438519814604</c:v>
                </c:pt>
                <c:pt idx="71">
                  <c:v>39.2005780971471</c:v>
                </c:pt>
                <c:pt idx="72">
                  <c:v>38.9613152673288</c:v>
                </c:pt>
                <c:pt idx="73">
                  <c:v>38.720703246805</c:v>
                </c:pt>
                <c:pt idx="74">
                  <c:v>38.4787147176011</c:v>
                </c:pt>
                <c:pt idx="75">
                  <c:v>38.2353232388952</c:v>
                </c:pt>
                <c:pt idx="76">
                  <c:v>37.9905033675317</c:v>
                </c:pt>
                <c:pt idx="77">
                  <c:v>37.7442307818225</c:v>
                </c:pt>
                <c:pt idx="78">
                  <c:v>37.4964824081395</c:v>
                </c:pt>
                <c:pt idx="79">
                  <c:v>37.2472365497396</c:v>
                </c:pt>
                <c:pt idx="80">
                  <c:v>36.9964730172137</c:v>
                </c:pt>
                <c:pt idx="81">
                  <c:v>36.7441732598957</c:v>
                </c:pt>
                <c:pt idx="82">
                  <c:v>36.4903204975191</c:v>
                </c:pt>
                <c:pt idx="83">
                  <c:v>36.2348998513629</c:v>
                </c:pt>
                <c:pt idx="84">
                  <c:v>35.9778984740928</c:v>
                </c:pt>
                <c:pt idx="85">
                  <c:v>35.7193056774642</c:v>
                </c:pt>
                <c:pt idx="86">
                  <c:v>35.4591130570326</c:v>
                </c:pt>
                <c:pt idx="87">
                  <c:v>35.1973146129945</c:v>
                </c:pt>
                <c:pt idx="88">
                  <c:v>34.9339068662741</c:v>
                </c:pt>
                <c:pt idx="89">
                  <c:v>34.668888968966</c:v>
                </c:pt>
                <c:pt idx="90">
                  <c:v>34.4022628082564</c:v>
                </c:pt>
                <c:pt idx="91">
                  <c:v>34.1340331029564</c:v>
                </c:pt>
                <c:pt idx="92">
                  <c:v>33.864207491814</c:v>
                </c:pt>
                <c:pt idx="93">
                  <c:v>33.5927966128026</c:v>
                </c:pt>
                <c:pt idx="94">
                  <c:v>33.3198141726305</c:v>
                </c:pt>
                <c:pt idx="95">
                  <c:v>33.0452770057714</c:v>
                </c:pt>
                <c:pt idx="96">
                  <c:v>32.7692051223756</c:v>
                </c:pt>
                <c:pt idx="97">
                  <c:v>32.4916217444933</c:v>
                </c:pt>
                <c:pt idx="98">
                  <c:v>32.212553330115</c:v>
                </c:pt>
                <c:pt idx="99">
                  <c:v>31.9320295846177</c:v>
                </c:pt>
                <c:pt idx="100">
                  <c:v>31.6500834592885</c:v>
                </c:pt>
                <c:pt idx="101">
                  <c:v>31.3667511366894</c:v>
                </c:pt>
                <c:pt idx="102">
                  <c:v>31.0820720027128</c:v>
                </c:pt>
                <c:pt idx="103">
                  <c:v>30.7960886052735</c:v>
                </c:pt>
                <c:pt idx="104">
                  <c:v>30.5088465996693</c:v>
                </c:pt>
                <c:pt idx="105">
                  <c:v>30.2203946807324</c:v>
                </c:pt>
                <c:pt idx="106">
                  <c:v>29.9307845019825</c:v>
                </c:pt>
                <c:pt idx="107">
                  <c:v>29.6400705820702</c:v>
                </c:pt>
                <c:pt idx="108">
                  <c:v>29.3483101988789</c:v>
                </c:pt>
                <c:pt idx="109">
                  <c:v>29.0555632717288</c:v>
                </c:pt>
                <c:pt idx="110">
                  <c:v>28.7618922321886</c:v>
                </c:pt>
                <c:pt idx="111">
                  <c:v>28.4673618840637</c:v>
                </c:pt>
                <c:pt idx="112">
                  <c:v>28.172039253186</c:v>
                </c:pt>
                <c:pt idx="113">
                  <c:v>27.8759934276742</c:v>
                </c:pt>
                <c:pt idx="114">
                  <c:v>27.5792953893811</c:v>
                </c:pt>
                <c:pt idx="115">
                  <c:v>27.2820178372745</c:v>
                </c:pt>
                <c:pt idx="116">
                  <c:v>26.9842350035369</c:v>
                </c:pt>
                <c:pt idx="117">
                  <c:v>26.6860224631857</c:v>
                </c:pt>
                <c:pt idx="118">
                  <c:v>26.3874569380444</c:v>
                </c:pt>
                <c:pt idx="119">
                  <c:v>26.0886160959085</c:v>
                </c:pt>
                <c:pt idx="120">
                  <c:v>25.7895783457627</c:v>
                </c:pt>
                <c:pt idx="121">
                  <c:v>25.4904226299168</c:v>
                </c:pt>
                <c:pt idx="122">
                  <c:v>25.1912282139381</c:v>
                </c:pt>
                <c:pt idx="123">
                  <c:v>24.8920744752552</c:v>
                </c:pt>
                <c:pt idx="124">
                  <c:v>24.5930406913219</c:v>
                </c:pt>
                <c:pt idx="125">
                  <c:v>24.2942058282189</c:v>
                </c:pt>
                <c:pt idx="126">
                  <c:v>23.9956483305824</c:v>
                </c:pt>
                <c:pt idx="127">
                  <c:v>23.6974459137348</c:v>
                </c:pt>
                <c:pt idx="128">
                  <c:v>23.3996753588949</c:v>
                </c:pt>
                <c:pt idx="129">
                  <c:v>23.102412312335</c:v>
                </c:pt>
                <c:pt idx="130">
                  <c:v>22.8057310893437</c:v>
                </c:pt>
                <c:pt idx="131">
                  <c:v>22.5097044838373</c:v>
                </c:pt>
                <c:pt idx="132">
                  <c:v>22.2144035844495</c:v>
                </c:pt>
                <c:pt idx="133">
                  <c:v>21.9198975979053</c:v>
                </c:pt>
                <c:pt idx="134">
                  <c:v>21.6262536804622</c:v>
                </c:pt>
                <c:pt idx="135">
                  <c:v>21.3335367781675</c:v>
                </c:pt>
                <c:pt idx="136">
                  <c:v>21.0418094766492</c:v>
                </c:pt>
                <c:pt idx="137">
                  <c:v>20.7511318611115</c:v>
                </c:pt>
                <c:pt idx="138">
                  <c:v>20.4615613871594</c:v>
                </c:pt>
                <c:pt idx="139">
                  <c:v>20.173152763025</c:v>
                </c:pt>
                <c:pt idx="140">
                  <c:v>19.8859578437025</c:v>
                </c:pt>
                <c:pt idx="141">
                  <c:v>19.6000255374366</c:v>
                </c:pt>
                <c:pt idx="142">
                  <c:v>19.3154017249345</c:v>
                </c:pt>
                <c:pt idx="143">
                  <c:v>19.0321291915946</c:v>
                </c:pt>
                <c:pt idx="144">
                  <c:v>18.7502475729623</c:v>
                </c:pt>
                <c:pt idx="145">
                  <c:v>18.4697933135394</c:v>
                </c:pt>
                <c:pt idx="146">
                  <c:v>18.1907996389817</c:v>
                </c:pt>
                <c:pt idx="147">
                  <c:v>17.9132965416319</c:v>
                </c:pt>
                <c:pt idx="148">
                  <c:v>17.6373107792426</c:v>
                </c:pt>
                <c:pt idx="149">
                  <c:v>17.3628658866523</c:v>
                </c:pt>
                <c:pt idx="150">
                  <c:v>17.0899822000938</c:v>
                </c:pt>
                <c:pt idx="151">
                  <c:v>16.8186768937202</c:v>
                </c:pt>
                <c:pt idx="152">
                  <c:v>16.548964027862</c:v>
                </c:pt>
                <c:pt idx="153">
                  <c:v>16.2808546084459</c:v>
                </c:pt>
                <c:pt idx="154">
                  <c:v>16.014356656938</c:v>
                </c:pt>
                <c:pt idx="155">
                  <c:v>15.7494752901158</c:v>
                </c:pt>
                <c:pt idx="156">
                  <c:v>15.4862128089121</c:v>
                </c:pt>
                <c:pt idx="157">
                  <c:v>15.2245687955361</c:v>
                </c:pt>
                <c:pt idx="158">
                  <c:v>14.9645402180343</c:v>
                </c:pt>
                <c:pt idx="159">
                  <c:v>14.7061215414324</c:v>
                </c:pt>
                <c:pt idx="160">
                  <c:v>14.4493048445786</c:v>
                </c:pt>
                <c:pt idx="161">
                  <c:v>14.1940799418021</c:v>
                </c:pt>
                <c:pt idx="162">
                  <c:v>13.9404345085035</c:v>
                </c:pt>
                <c:pt idx="163">
                  <c:v>13.688354209802</c:v>
                </c:pt>
                <c:pt idx="164">
                  <c:v>13.4378228313843</c:v>
                </c:pt>
                <c:pt idx="165">
                  <c:v>13.1888224117277</c:v>
                </c:pt>
                <c:pt idx="166">
                  <c:v>12.9413333748989</c:v>
                </c:pt>
                <c:pt idx="167">
                  <c:v>12.6953346631766</c:v>
                </c:pt>
                <c:pt idx="168">
                  <c:v>12.4508038687841</c:v>
                </c:pt>
                <c:pt idx="169">
                  <c:v>12.2077173640695</c:v>
                </c:pt>
                <c:pt idx="170">
                  <c:v>11.966050429527</c:v>
                </c:pt>
                <c:pt idx="171">
                  <c:v>11.7257773791022</c:v>
                </c:pt>
                <c:pt idx="172">
                  <c:v>11.486871682285</c:v>
                </c:pt>
                <c:pt idx="173">
                  <c:v>11.2493060825511</c:v>
                </c:pt>
                <c:pt idx="174">
                  <c:v>11.0130527117682</c:v>
                </c:pt>
                <c:pt idx="175">
                  <c:v>10.7780832002439</c:v>
                </c:pt>
                <c:pt idx="176">
                  <c:v>10.5443687821437</c:v>
                </c:pt>
                <c:pt idx="177">
                  <c:v>10.3118803960661</c:v>
                </c:pt>
                <c:pt idx="178">
                  <c:v>10.0805887806091</c:v>
                </c:pt>
                <c:pt idx="179">
                  <c:v>9.85046456481257</c:v>
                </c:pt>
                <c:pt idx="180">
                  <c:v>9.62147835340928</c:v>
                </c:pt>
                <c:pt idx="181">
                  <c:v>9.39360080685553</c:v>
                </c:pt>
                <c:pt idx="182">
                  <c:v>9.1668027161535</c:v>
                </c:pt>
                <c:pt idx="183">
                  <c:v>8.94105507251298</c:v>
                </c:pt>
                <c:pt idx="184">
                  <c:v>8.7163291319313</c:v>
                </c:pt>
                <c:pt idx="185">
                  <c:v>8.49259647479822</c:v>
                </c:pt>
                <c:pt idx="186">
                  <c:v>8.2698290606573</c:v>
                </c:pt>
                <c:pt idx="187">
                  <c:v>8.04799927827592</c:v>
                </c:pt>
                <c:pt idx="188">
                  <c:v>7.82707999119524</c:v>
                </c:pt>
                <c:pt idx="189">
                  <c:v>7.60704457894426</c:v>
                </c:pt>
                <c:pt idx="190">
                  <c:v>7.38786697411518</c:v>
                </c:pt>
                <c:pt idx="191">
                  <c:v>7.16952169550509</c:v>
                </c:pt>
                <c:pt idx="192">
                  <c:v>6.95198387753748</c:v>
                </c:pt>
                <c:pt idx="193">
                  <c:v>6.73522929617733</c:v>
                </c:pt>
                <c:pt idx="194">
                  <c:v>6.5192343915611</c:v>
                </c:pt>
                <c:pt idx="195">
                  <c:v>6.30397628755683</c:v>
                </c:pt>
                <c:pt idx="196">
                  <c:v>6.08943280847345</c:v>
                </c:pt>
                <c:pt idx="197">
                  <c:v>5.87558249313239</c:v>
                </c:pt>
                <c:pt idx="198">
                  <c:v>5.6624046065105</c:v>
                </c:pt>
                <c:pt idx="199">
                  <c:v>5.44987914916019</c:v>
                </c:pt>
                <c:pt idx="200">
                  <c:v>5.23798686460304</c:v>
                </c:pt>
                <c:pt idx="201">
                  <c:v>5.02670924488937</c:v>
                </c:pt>
                <c:pt idx="202">
                  <c:v>4.81602853450825</c:v>
                </c:pt>
                <c:pt idx="203">
                  <c:v>4.60592773282088</c:v>
                </c:pt>
                <c:pt idx="204">
                  <c:v>4.39639059518807</c:v>
                </c:pt>
                <c:pt idx="205">
                  <c:v>4.18740163294796</c:v>
                </c:pt>
                <c:pt idx="206">
                  <c:v>3.97894611239711</c:v>
                </c:pt>
                <c:pt idx="207">
                  <c:v>3.77101005291322</c:v>
                </c:pt>
                <c:pt idx="208">
                  <c:v>3.56358022435367</c:v>
                </c:pt>
                <c:pt idx="209">
                  <c:v>3.3566441438559</c:v>
                </c:pt>
                <c:pt idx="210">
                  <c:v>3.15019007215056</c:v>
                </c:pt>
                <c:pt idx="211">
                  <c:v>2.94420700949905</c:v>
                </c:pt>
                <c:pt idx="212">
                  <c:v>2.7386846913515</c:v>
                </c:pt>
                <c:pt idx="213">
                  <c:v>2.5336135838171</c:v>
                </c:pt>
                <c:pt idx="214">
                  <c:v>2.32898487902987</c:v>
                </c:pt>
                <c:pt idx="215">
                  <c:v>2.12479049048456</c:v>
                </c:pt>
                <c:pt idx="216">
                  <c:v>1.92102304841212</c:v>
                </c:pt>
                <c:pt idx="217">
                  <c:v>1.71767589525481</c:v>
                </c:pt>
                <c:pt idx="218">
                  <c:v>1.5147430812955</c:v>
                </c:pt>
                <c:pt idx="219">
                  <c:v>1.31221936048831</c:v>
                </c:pt>
                <c:pt idx="220">
                  <c:v>1.11010018653344</c:v>
                </c:pt>
                <c:pt idx="221">
                  <c:v>0.908381709227962</c:v>
                </c:pt>
                <c:pt idx="222">
                  <c:v>0.70706077112556</c:v>
                </c:pt>
                <c:pt idx="223">
                  <c:v>0.506134904523695</c:v>
                </c:pt>
                <c:pt idx="224">
                  <c:v>0.305602328799552</c:v>
                </c:pt>
                <c:pt idx="225">
                  <c:v>0.105461948102678</c:v>
                </c:pt>
                <c:pt idx="226">
                  <c:v>-0.0942866505859554</c:v>
                </c:pt>
                <c:pt idx="227">
                  <c:v>-0.293643199031528</c:v>
                </c:pt>
                <c:pt idx="228">
                  <c:v>-0.492606748962105</c:v>
                </c:pt>
                <c:pt idx="229">
                  <c:v>-0.69117567293512</c:v>
                </c:pt>
                <c:pt idx="230">
                  <c:v>-0.889347664869727</c:v>
                </c:pt>
                <c:pt idx="231">
                  <c:v>-1.08711974026547</c:v>
                </c:pt>
                <c:pt idx="232">
                  <c:v>-1.28448823613417</c:v>
                </c:pt>
                <c:pt idx="233">
                  <c:v>-1.48144881067548</c:v>
                </c:pt>
                <c:pt idx="234">
                  <c:v>-1.67799644273415</c:v>
                </c:pt>
                <c:pt idx="235">
                  <c:v>-1.87412543108179</c:v>
                </c:pt>
                <c:pt idx="236">
                  <c:v>-2.06982939357059</c:v>
                </c:pt>
                <c:pt idx="237">
                  <c:v>-2.2651012662126</c:v>
                </c:pt>
                <c:pt idx="238">
                  <c:v>-2.45993330224482</c:v>
                </c:pt>
                <c:pt idx="239">
                  <c:v>-2.65431707124457</c:v>
                </c:pt>
                <c:pt idx="240">
                  <c:v>-2.84824345836585</c:v>
                </c:pt>
                <c:pt idx="241">
                  <c:v>-3.04170266377342</c:v>
                </c:pt>
                <c:pt idx="242">
                  <c:v>-3.23468420235736</c:v>
                </c:pt>
                <c:pt idx="243">
                  <c:v>-3.42717690381485</c:v>
                </c:pt>
                <c:pt idx="244">
                  <c:v>-3.61916891319468</c:v>
                </c:pt>
                <c:pt idx="245">
                  <c:v>-3.81064769200133</c:v>
                </c:pt>
                <c:pt idx="246">
                  <c:v>-4.00160001996546</c:v>
                </c:pt>
                <c:pt idx="247">
                  <c:v>-4.19201199758852</c:v>
                </c:pt>
                <c:pt idx="248">
                  <c:v>-4.38186904957668</c:v>
                </c:pt>
                <c:pt idx="249">
                  <c:v>-4.57115592928283</c:v>
                </c:pt>
                <c:pt idx="250">
                  <c:v>-4.75985672427855</c:v>
                </c:pt>
                <c:pt idx="251">
                  <c:v>-4.94795486318301</c:v>
                </c:pt>
                <c:pt idx="252">
                  <c:v>-5.13543312387689</c:v>
                </c:pt>
                <c:pt idx="253">
                  <c:v>-5.32227364323075</c:v>
                </c:pt>
                <c:pt idx="254">
                  <c:v>-5.50845792848158</c:v>
                </c:pt>
                <c:pt idx="255">
                  <c:v>-5.69396687038528</c:v>
                </c:pt>
                <c:pt idx="256">
                  <c:v>-5.87878075827886</c:v>
                </c:pt>
                <c:pt idx="257">
                  <c:v>-6.06287929717529</c:v>
                </c:pt>
                <c:pt idx="258">
                  <c:v>-6.24624162701698</c:v>
                </c:pt>
                <c:pt idx="259">
                  <c:v>-6.42884634420361</c:v>
                </c:pt>
                <c:pt idx="260">
                  <c:v>-6.61067152550458</c:v>
                </c:pt>
                <c:pt idx="261">
                  <c:v>-6.79169475445553</c:v>
                </c:pt>
                <c:pt idx="262">
                  <c:v>-6.9718931503283</c:v>
                </c:pt>
                <c:pt idx="263">
                  <c:v>-7.15124339975006</c:v>
                </c:pt>
                <c:pt idx="264">
                  <c:v>-7.32972179103031</c:v>
                </c:pt>
                <c:pt idx="265">
                  <c:v>-7.50730425123914</c:v>
                </c:pt>
                <c:pt idx="266">
                  <c:v>-7.68396638605689</c:v>
                </c:pt>
                <c:pt idx="267">
                  <c:v>-7.85968352239698</c:v>
                </c:pt>
                <c:pt idx="268">
                  <c:v>-8.03443075377542</c:v>
                </c:pt>
                <c:pt idx="269">
                  <c:v>-8.20818298837729</c:v>
                </c:pt>
                <c:pt idx="270">
                  <c:v>-8.38091499973978</c:v>
                </c:pt>
                <c:pt idx="271">
                  <c:v>-8.55260147994383</c:v>
                </c:pt>
                <c:pt idx="272">
                  <c:v>-8.72321709517357</c:v>
                </c:pt>
                <c:pt idx="273">
                  <c:v>-8.89273654347093</c:v>
                </c:pt>
                <c:pt idx="274">
                  <c:v>-9.06113461448084</c:v>
                </c:pt>
                <c:pt idx="275">
                  <c:v>-9.2283862509492</c:v>
                </c:pt>
                <c:pt idx="276">
                  <c:v>-9.39446661170322</c:v>
                </c:pt>
                <c:pt idx="277">
                  <c:v>-9.55935113581349</c:v>
                </c:pt>
                <c:pt idx="278">
                  <c:v>-9.72301560760698</c:v>
                </c:pt>
                <c:pt idx="279">
                  <c:v>-9.88543622217391</c:v>
                </c:pt>
                <c:pt idx="280">
                  <c:v>-10.0465896509868</c:v>
                </c:pt>
                <c:pt idx="281">
                  <c:v>-10.2064531072324</c:v>
                </c:pt>
                <c:pt idx="282">
                  <c:v>-10.3650044104387</c:v>
                </c:pt>
                <c:pt idx="283">
                  <c:v>-10.5222220499748</c:v>
                </c:pt>
                <c:pt idx="284">
                  <c:v>-10.6780852469914</c:v>
                </c:pt>
                <c:pt idx="285">
                  <c:v>-10.8325740143801</c:v>
                </c:pt>
                <c:pt idx="286">
                  <c:v>-10.9856692143343</c:v>
                </c:pt>
                <c:pt idx="287">
                  <c:v>-11.137352613116</c:v>
                </c:pt>
                <c:pt idx="288">
                  <c:v>-11.2876069326586</c:v>
                </c:pt>
                <c:pt idx="289">
                  <c:v>-11.4364158986673</c:v>
                </c:pt>
                <c:pt idx="290">
                  <c:v>-11.5837642849246</c:v>
                </c:pt>
                <c:pt idx="291">
                  <c:v>-11.7296379535537</c:v>
                </c:pt>
                <c:pt idx="292">
                  <c:v>-11.8740238910523</c:v>
                </c:pt>
                <c:pt idx="293">
                  <c:v>-12.0169102399702</c:v>
                </c:pt>
                <c:pt idx="294">
                  <c:v>-12.1582863261714</c:v>
                </c:pt>
                <c:pt idx="295">
                  <c:v>-12.2981426816966</c:v>
                </c:pt>
                <c:pt idx="296">
                  <c:v>-12.4364710633135</c:v>
                </c:pt>
                <c:pt idx="297">
                  <c:v>-12.573264466921</c:v>
                </c:pt>
                <c:pt idx="298">
                  <c:v>-12.7085171380455</c:v>
                </c:pt>
                <c:pt idx="299">
                  <c:v>-12.8422245787468</c:v>
                </c:pt>
                <c:pt idx="300">
                  <c:v>-12.9743835513141</c:v>
                </c:pt>
                <c:pt idx="301">
                  <c:v>-13.1049920792003</c:v>
                </c:pt>
                <c:pt idx="302">
                  <c:v>-13.2340494456958</c:v>
                </c:pt>
                <c:pt idx="303">
                  <c:v>-13.361556190891</c:v>
                </c:pt>
                <c:pt idx="304">
                  <c:v>-13.4875141075112</c:v>
                </c:pt>
                <c:pt idx="305">
                  <c:v>-13.6119262362321</c:v>
                </c:pt>
                <c:pt idx="306">
                  <c:v>-13.7347968610889</c:v>
                </c:pt>
                <c:pt idx="307">
                  <c:v>-13.8561315055954</c:v>
                </c:pt>
                <c:pt idx="308">
                  <c:v>-13.9759369301642</c:v>
                </c:pt>
                <c:pt idx="309">
                  <c:v>-14.0942211313903</c:v>
                </c:pt>
                <c:pt idx="310">
                  <c:v>-14.2109933437085</c:v>
                </c:pt>
                <c:pt idx="311">
                  <c:v>-14.3262640438807</c:v>
                </c:pt>
                <c:pt idx="312">
                  <c:v>-14.4400449586913</c:v>
                </c:pt>
                <c:pt idx="313">
                  <c:v>-14.5523490761455</c:v>
                </c:pt>
                <c:pt idx="314">
                  <c:v>-14.6631906603788</c:v>
                </c:pt>
                <c:pt idx="315">
                  <c:v>-14.7725852703764</c:v>
                </c:pt>
                <c:pt idx="316">
                  <c:v>-14.8805497825073</c:v>
                </c:pt>
                <c:pt idx="317">
                  <c:v>-14.9871024167638</c:v>
                </c:pt>
                <c:pt idx="318">
                  <c:v>-15.0922627664948</c:v>
                </c:pt>
                <c:pt idx="319">
                  <c:v>-15.1960518313139</c:v>
                </c:pt>
                <c:pt idx="320">
                  <c:v>-15.29849205277</c:v>
                </c:pt>
                <c:pt idx="321">
                  <c:v>-15.3996073522684</c:v>
                </c:pt>
                <c:pt idx="322">
                  <c:v>-15.4994231706532</c:v>
                </c:pt>
                <c:pt idx="323">
                  <c:v>-15.5979665087892</c:v>
                </c:pt>
                <c:pt idx="324">
                  <c:v>-15.6952659684185</c:v>
                </c:pt>
                <c:pt idx="325">
                  <c:v>-15.7913517925263</c:v>
                </c:pt>
                <c:pt idx="326">
                  <c:v>-15.8862559044117</c:v>
                </c:pt>
                <c:pt idx="327">
                  <c:v>-15.9800119446483</c:v>
                </c:pt>
                <c:pt idx="328">
                  <c:v>-16.072655305112</c:v>
                </c:pt>
                <c:pt idx="329">
                  <c:v>-16.1642231592669</c:v>
                </c:pt>
                <c:pt idx="330">
                  <c:v>-16.2547544879227</c:v>
                </c:pt>
                <c:pt idx="331">
                  <c:v>-16.3442900997156</c:v>
                </c:pt>
                <c:pt idx="332">
                  <c:v>-16.4328726456148</c:v>
                </c:pt>
                <c:pt idx="333">
                  <c:v>-16.5205466268078</c:v>
                </c:pt>
                <c:pt idx="334">
                  <c:v>-16.6073583953934</c:v>
                </c:pt>
                <c:pt idx="335">
                  <c:v>-16.6933561473749</c:v>
                </c:pt>
                <c:pt idx="336">
                  <c:v>-16.7785899075311</c:v>
                </c:pt>
                <c:pt idx="337">
                  <c:v>-16.8631115058171</c:v>
                </c:pt>
                <c:pt idx="338">
                  <c:v>-16.9469745450319</c:v>
                </c:pt>
                <c:pt idx="339">
                  <c:v>-17.0302343595739</c:v>
                </c:pt>
                <c:pt idx="340">
                  <c:v>-17.1129479651816</c:v>
                </c:pt>
                <c:pt idx="341">
                  <c:v>-17.195173999637</c:v>
                </c:pt>
                <c:pt idx="342">
                  <c:v>-17.2769726544876</c:v>
                </c:pt>
                <c:pt idx="343">
                  <c:v>-17.3584055979067</c:v>
                </c:pt>
                <c:pt idx="344">
                  <c:v>-17.4395358888847</c:v>
                </c:pt>
                <c:pt idx="345">
                  <c:v>-17.5204278829989</c:v>
                </c:pt>
                <c:pt idx="346">
                  <c:v>-17.6011471300694</c:v>
                </c:pt>
                <c:pt idx="347">
                  <c:v>-17.681760264058</c:v>
                </c:pt>
                <c:pt idx="348">
                  <c:v>-17.7623348856102</c:v>
                </c:pt>
                <c:pt idx="349">
                  <c:v>-17.8429394376856</c:v>
                </c:pt>
                <c:pt idx="350">
                  <c:v>-17.9236430747547</c:v>
                </c:pt>
                <c:pt idx="351">
                  <c:v>-18.004515526076</c:v>
                </c:pt>
                <c:pt idx="352">
                  <c:v>-18.085626953595</c:v>
                </c:pt>
                <c:pt idx="353">
                  <c:v>-18.1670478050352</c:v>
                </c:pt>
                <c:pt idx="354">
                  <c:v>-18.2488486627758</c:v>
                </c:pt>
                <c:pt idx="355">
                  <c:v>-18.3311000891318</c:v>
                </c:pt>
                <c:pt idx="356">
                  <c:v>-18.4138724686777</c:v>
                </c:pt>
                <c:pt idx="357">
                  <c:v>-18.4972358482717</c:v>
                </c:pt>
                <c:pt idx="358">
                  <c:v>-18.5812597754602</c:v>
                </c:pt>
                <c:pt idx="359">
                  <c:v>-18.6660131359584</c:v>
                </c:pt>
                <c:pt idx="360">
                  <c:v>-18.7515639909209</c:v>
                </c:pt>
                <c:pt idx="361">
                  <c:v>-18.8379794147312</c:v>
                </c:pt>
                <c:pt idx="362">
                  <c:v>-18.9253253340525</c:v>
                </c:pt>
                <c:pt idx="363">
                  <c:v>-19.0136663688944</c:v>
                </c:pt>
                <c:pt idx="364">
                  <c:v>-19.1030656764597</c:v>
                </c:pt>
                <c:pt idx="365">
                  <c:v>-19.1935847985389</c:v>
                </c:pt>
                <c:pt idx="366">
                  <c:v>-19.2852835132231</c:v>
                </c:pt>
                <c:pt idx="367">
                  <c:v>-19.3782196917034</c:v>
                </c:pt>
                <c:pt idx="368">
                  <c:v>-19.4724491609154</c:v>
                </c:pt>
                <c:pt idx="369">
                  <c:v>-19.5680255727732</c:v>
                </c:pt>
                <c:pt idx="370">
                  <c:v>-19.6650002807173</c:v>
                </c:pt>
                <c:pt idx="371">
                  <c:v>-19.7634222242738</c:v>
                </c:pt>
                <c:pt idx="372">
                  <c:v>-19.8633378222866</c:v>
                </c:pt>
                <c:pt idx="373">
                  <c:v>-19.9647908754413</c:v>
                </c:pt>
                <c:pt idx="374">
                  <c:v>-20.0678224786535</c:v>
                </c:pt>
                <c:pt idx="375">
                  <c:v>-20.1724709438332</c:v>
                </c:pt>
                <c:pt idx="376">
                  <c:v>-20.2787717334765</c:v>
                </c:pt>
                <c:pt idx="377">
                  <c:v>-20.3867574054646</c:v>
                </c:pt>
                <c:pt idx="378">
                  <c:v>-20.4964575693726</c:v>
                </c:pt>
                <c:pt idx="379">
                  <c:v>-20.607898854513</c:v>
                </c:pt>
                <c:pt idx="380">
                  <c:v>-20.7211048898501</c:v>
                </c:pt>
                <c:pt idx="381">
                  <c:v>-20.8360962958367</c:v>
                </c:pt>
                <c:pt idx="382">
                  <c:v>-20.9528906881326</c:v>
                </c:pt>
                <c:pt idx="383">
                  <c:v>-21.0715026930758</c:v>
                </c:pt>
                <c:pt idx="384">
                  <c:v>-21.1919439746876</c:v>
                </c:pt>
                <c:pt idx="385">
                  <c:v>-21.3142232729051</c:v>
                </c:pt>
                <c:pt idx="386">
                  <c:v>-21.4383464526511</c:v>
                </c:pt>
                <c:pt idx="387">
                  <c:v>-21.5643165632747</c:v>
                </c:pt>
                <c:pt idx="388">
                  <c:v>-21.6921339078166</c:v>
                </c:pt>
                <c:pt idx="389">
                  <c:v>-21.8217961214941</c:v>
                </c:pt>
                <c:pt idx="390">
                  <c:v>-21.9532982587363</c:v>
                </c:pt>
                <c:pt idx="391">
                  <c:v>-22.0866328880517</c:v>
                </c:pt>
                <c:pt idx="392">
                  <c:v>-22.2217901939677</c:v>
                </c:pt>
                <c:pt idx="393">
                  <c:v>-22.3587580852517</c:v>
                </c:pt>
                <c:pt idx="394">
                  <c:v>-22.4975223085971</c:v>
                </c:pt>
                <c:pt idx="395">
                  <c:v>-22.6380665669464</c:v>
                </c:pt>
                <c:pt idx="396">
                  <c:v>-22.7803726416192</c:v>
                </c:pt>
                <c:pt idx="397">
                  <c:v>-22.9244205174171</c:v>
                </c:pt>
                <c:pt idx="398">
                  <c:v>-23.0701885098929</c:v>
                </c:pt>
                <c:pt idx="399">
                  <c:v>-23.2176533939891</c:v>
                </c:pt>
                <c:pt idx="400">
                  <c:v>-23.3667905332837</c:v>
                </c:pt>
                <c:pt idx="401">
                  <c:v>-23.5175740091142</c:v>
                </c:pt>
                <c:pt idx="402">
                  <c:v>-23.6699767488908</c:v>
                </c:pt>
                <c:pt idx="403">
                  <c:v>-23.8239706529571</c:v>
                </c:pt>
                <c:pt idx="404">
                  <c:v>-23.9795267194036</c:v>
                </c:pt>
                <c:pt idx="405">
                  <c:v>-24.1366151662942</c:v>
                </c:pt>
                <c:pt idx="406">
                  <c:v>-24.2952055508177</c:v>
                </c:pt>
                <c:pt idx="407">
                  <c:v>-24.4552668849318</c:v>
                </c:pt>
                <c:pt idx="408">
                  <c:v>-24.6167677471251</c:v>
                </c:pt>
                <c:pt idx="409">
                  <c:v>-24.7796763899759</c:v>
                </c:pt>
                <c:pt idx="410">
                  <c:v>-24.9439608432407</c:v>
                </c:pt>
                <c:pt idx="411">
                  <c:v>-25.1095890122605</c:v>
                </c:pt>
                <c:pt idx="412">
                  <c:v>-25.2765287715213</c:v>
                </c:pt>
                <c:pt idx="413">
                  <c:v>-25.4447480532537</c:v>
                </c:pt>
                <c:pt idx="414">
                  <c:v>-25.6142149310042</c:v>
                </c:pt>
                <c:pt idx="415">
                  <c:v>-25.7848976981485</c:v>
                </c:pt>
                <c:pt idx="416">
                  <c:v>-25.9567649413611</c:v>
                </c:pt>
                <c:pt idx="417">
                  <c:v>-26.1297856090862</c:v>
                </c:pt>
                <c:pt idx="418">
                  <c:v>-26.3039290750889</c:v>
                </c:pt>
                <c:pt idx="419">
                  <c:v>-26.4791651971946</c:v>
                </c:pt>
                <c:pt idx="420">
                  <c:v>-26.655464371347</c:v>
                </c:pt>
                <c:pt idx="421">
                  <c:v>-26.8327975811392</c:v>
                </c:pt>
                <c:pt idx="422">
                  <c:v>-27.0111364429867</c:v>
                </c:pt>
                <c:pt idx="423">
                  <c:v>-27.1904532471309</c:v>
                </c:pt>
                <c:pt idx="424">
                  <c:v>-27.3707209946683</c:v>
                </c:pt>
                <c:pt idx="425">
                  <c:v>-27.5519134308151</c:v>
                </c:pt>
                <c:pt idx="426">
                  <c:v>-27.7340050746188</c:v>
                </c:pt>
                <c:pt idx="427">
                  <c:v>-27.9169712453354</c:v>
                </c:pt>
                <c:pt idx="428">
                  <c:v>-28.1007880856936</c:v>
                </c:pt>
                <c:pt idx="429">
                  <c:v>-28.2854325822646</c:v>
                </c:pt>
                <c:pt idx="430">
                  <c:v>-28.4708825831584</c:v>
                </c:pt>
                <c:pt idx="431">
                  <c:v>-28.6571168132604</c:v>
                </c:pt>
                <c:pt idx="432">
                  <c:v>-28.8441148872232</c:v>
                </c:pt>
                <c:pt idx="433">
                  <c:v>-29.031857320418</c:v>
                </c:pt>
                <c:pt idx="434">
                  <c:v>-29.2203255380462</c:v>
                </c:pt>
                <c:pt idx="435">
                  <c:v>-29.4095018826048</c:v>
                </c:pt>
                <c:pt idx="436">
                  <c:v>-29.599369619892</c:v>
                </c:pt>
                <c:pt idx="437">
                  <c:v>-29.7899129437274</c:v>
                </c:pt>
                <c:pt idx="438">
                  <c:v>-29.9811169795598</c:v>
                </c:pt>
                <c:pt idx="439">
                  <c:v>-30.1729677871175</c:v>
                </c:pt>
                <c:pt idx="440">
                  <c:v>-30.3654523622556</c:v>
                </c:pt>
                <c:pt idx="441">
                  <c:v>-30.55855863814</c:v>
                </c:pt>
                <c:pt idx="442">
                  <c:v>-30.7522754858986</c:v>
                </c:pt>
                <c:pt idx="443">
                  <c:v>-30.9465927148669</c:v>
                </c:pt>
                <c:pt idx="444">
                  <c:v>-31.1415010725357</c:v>
                </c:pt>
                <c:pt idx="445">
                  <c:v>-31.3369922443105</c:v>
                </c:pt>
                <c:pt idx="446">
                  <c:v>-31.5330588531728</c:v>
                </c:pt>
                <c:pt idx="447">
                  <c:v>-31.7296944593351</c:v>
                </c:pt>
                <c:pt idx="448">
                  <c:v>-31.9268935599605</c:v>
                </c:pt>
                <c:pt idx="449">
                  <c:v>-32.1246515890218</c:v>
                </c:pt>
                <c:pt idx="450">
                  <c:v>-32.3229649173553</c:v>
                </c:pt>
                <c:pt idx="451">
                  <c:v>-32.5218308529639</c:v>
                </c:pt>
                <c:pt idx="452">
                  <c:v>-32.7212476416113</c:v>
                </c:pt>
                <c:pt idx="453">
                  <c:v>-32.9212144677428</c:v>
                </c:pt>
                <c:pt idx="454">
                  <c:v>-33.1217314557599</c:v>
                </c:pt>
                <c:pt idx="455">
                  <c:v>-33.3227996716678</c:v>
                </c:pt>
                <c:pt idx="456">
                  <c:v>-33.5244211251046</c:v>
                </c:pt>
                <c:pt idx="457">
                  <c:v>-33.7265987717579</c:v>
                </c:pt>
                <c:pt idx="458">
                  <c:v>-33.9293365161619</c:v>
                </c:pt>
                <c:pt idx="459">
                  <c:v>-34.132639214862</c:v>
                </c:pt>
                <c:pt idx="460">
                  <c:v>-34.3365126799254</c:v>
                </c:pt>
                <c:pt idx="461">
                  <c:v>-34.5409636827698</c:v>
                </c:pt>
                <c:pt idx="462">
                  <c:v>-34.7459999582699</c:v>
                </c:pt>
                <c:pt idx="463">
                  <c:v>-34.951630209098</c:v>
                </c:pt>
                <c:pt idx="464">
                  <c:v>-35.1578641102433</c:v>
                </c:pt>
                <c:pt idx="465">
                  <c:v>-35.3647123136473</c:v>
                </c:pt>
                <c:pt idx="466">
                  <c:v>-35.5721864528829</c:v>
                </c:pt>
                <c:pt idx="467">
                  <c:v>-35.7802991477971</c:v>
                </c:pt>
                <c:pt idx="468">
                  <c:v>-35.9890640090287</c:v>
                </c:pt>
                <c:pt idx="469">
                  <c:v>-36.1984956423004</c:v>
                </c:pt>
                <c:pt idx="470">
                  <c:v>-36.4086096523798</c:v>
                </c:pt>
                <c:pt idx="471">
                  <c:v>-36.6194226465901</c:v>
                </c:pt>
                <c:pt idx="472">
                  <c:v>-36.8309522377461</c:v>
                </c:pt>
                <c:pt idx="473">
                  <c:v>-37.0432170463785</c:v>
                </c:pt>
                <c:pt idx="474">
                  <c:v>-37.2562367021034</c:v>
                </c:pt>
                <c:pt idx="475">
                  <c:v>-37.4700318439806</c:v>
                </c:pt>
                <c:pt idx="476">
                  <c:v>-37.6846241196997</c:v>
                </c:pt>
                <c:pt idx="477">
                  <c:v>-37.9000361834235</c:v>
                </c:pt>
                <c:pt idx="478">
                  <c:v>-38.1162916921061</c:v>
                </c:pt>
                <c:pt idx="479">
                  <c:v>-38.3334153001016</c:v>
                </c:pt>
                <c:pt idx="480">
                  <c:v>-38.5514326518681</c:v>
                </c:pt>
                <c:pt idx="481">
                  <c:v>-38.7703703725655</c:v>
                </c:pt>
                <c:pt idx="482">
                  <c:v>-38.9902560563434</c:v>
                </c:pt>
                <c:pt idx="483">
                  <c:v>-39.2111182521077</c:v>
                </c:pt>
                <c:pt idx="484">
                  <c:v>-39.4329864465555</c:v>
                </c:pt>
                <c:pt idx="485">
                  <c:v>-39.6558910442597</c:v>
                </c:pt>
                <c:pt idx="486">
                  <c:v>-39.8798633445973</c:v>
                </c:pt>
                <c:pt idx="487">
                  <c:v>-40.1049355153013</c:v>
                </c:pt>
                <c:pt idx="488">
                  <c:v>-40.3311405624374</c:v>
                </c:pt>
                <c:pt idx="489">
                  <c:v>-40.5585122965986</c:v>
                </c:pt>
                <c:pt idx="490">
                  <c:v>-40.7870852951327</c:v>
                </c:pt>
                <c:pt idx="491">
                  <c:v>-41.016894860218</c:v>
                </c:pt>
                <c:pt idx="492">
                  <c:v>-41.2479769726283</c:v>
                </c:pt>
                <c:pt idx="493">
                  <c:v>-41.4803682410375</c:v>
                </c:pt>
                <c:pt idx="494">
                  <c:v>-41.7141058467399</c:v>
                </c:pt>
                <c:pt idx="495">
                  <c:v>-41.9492274836878</c:v>
                </c:pt>
                <c:pt idx="496">
                  <c:v>-42.18577129377</c:v>
                </c:pt>
                <c:pt idx="497">
                  <c:v>-42.4237757972946</c:v>
                </c:pt>
                <c:pt idx="498">
                  <c:v>-42.663279818666</c:v>
                </c:pt>
                <c:pt idx="499">
                  <c:v>-42.904322407291</c:v>
                </c:pt>
                <c:pt idx="500">
                  <c:v>-43.1469427537853</c:v>
                </c:pt>
                <c:pt idx="501">
                  <c:v>-43.3911801015984</c:v>
                </c:pt>
                <c:pt idx="502">
                  <c:v>-43.6370736542227</c:v>
                </c:pt>
                <c:pt idx="503">
                  <c:v>-43.8846624781967</c:v>
                </c:pt>
                <c:pt idx="504">
                  <c:v>-44.1339854021725</c:v>
                </c:pt>
                <c:pt idx="505">
                  <c:v>-44.3850809123606</c:v>
                </c:pt>
                <c:pt idx="506">
                  <c:v>-44.637987044723</c:v>
                </c:pt>
                <c:pt idx="507">
                  <c:v>-44.8927412743402</c:v>
                </c:pt>
                <c:pt idx="508">
                  <c:v>-45.1493804024258</c:v>
                </c:pt>
                <c:pt idx="509">
                  <c:v>-45.4079404415161</c:v>
                </c:pt>
                <c:pt idx="510">
                  <c:v>-45.6684564994107</c:v>
                </c:pt>
                <c:pt idx="511">
                  <c:v>-45.9309626624828</c:v>
                </c:pt>
                <c:pt idx="512">
                  <c:v>-46.1954918790229</c:v>
                </c:pt>
                <c:pt idx="513">
                  <c:v>-46.4620758433099</c:v>
                </c:pt>
                <c:pt idx="514">
                  <c:v>-46.7307448811407</c:v>
                </c:pt>
                <c:pt idx="515">
                  <c:v>-47.0015278375639</c:v>
                </c:pt>
                <c:pt idx="516">
                  <c:v>-47.2744519675866</c:v>
                </c:pt>
                <c:pt idx="517">
                  <c:v>-47.549542830626</c:v>
                </c:pt>
                <c:pt idx="518">
                  <c:v>-47.8268241894757</c:v>
                </c:pt>
                <c:pt idx="519">
                  <c:v>-48.1063179145483</c:v>
                </c:pt>
                <c:pt idx="520">
                  <c:v>-48.3880438941349</c:v>
                </c:pt>
                <c:pt idx="521">
                  <c:v>-48.6720199513889</c:v>
                </c:pt>
                <c:pt idx="522">
                  <c:v>-48.9582617687069</c:v>
                </c:pt>
                <c:pt idx="523">
                  <c:v>-49.2467828201277</c:v>
                </c:pt>
                <c:pt idx="524">
                  <c:v>-49.5375943123133</c:v>
                </c:pt>
                <c:pt idx="525">
                  <c:v>-49.8307051346118</c:v>
                </c:pt>
                <c:pt idx="526">
                  <c:v>-50.1261218186236</c:v>
                </c:pt>
                <c:pt idx="527">
                  <c:v>-50.4238485076235</c:v>
                </c:pt>
                <c:pt idx="528">
                  <c:v>-50.7238869360927</c:v>
                </c:pt>
                <c:pt idx="529">
                  <c:v>-51.0262364195394</c:v>
                </c:pt>
                <c:pt idx="530">
                  <c:v>-51.3308938546845</c:v>
                </c:pt>
                <c:pt idx="531">
                  <c:v>-51.6378537300037</c:v>
                </c:pt>
                <c:pt idx="532">
                  <c:v>-51.9471081465209</c:v>
                </c:pt>
                <c:pt idx="533">
                  <c:v>-52.2586468486581</c:v>
                </c:pt>
                <c:pt idx="534">
                  <c:v>-52.5724572648582</c:v>
                </c:pt>
                <c:pt idx="535">
                  <c:v>-52.8885245576159</c:v>
                </c:pt>
                <c:pt idx="536">
                  <c:v>-53.2068316824679</c:v>
                </c:pt>
                <c:pt idx="537">
                  <c:v>-53.5273594554304</c:v>
                </c:pt>
                <c:pt idx="538">
                  <c:v>-53.8500866283001</c:v>
                </c:pt>
                <c:pt idx="539">
                  <c:v>-54.1749899711835</c:v>
                </c:pt>
                <c:pt idx="540">
                  <c:v>-54.5020443615696</c:v>
                </c:pt>
                <c:pt idx="541">
                  <c:v>-54.831222879228</c:v>
                </c:pt>
              </c:numCache>
            </c:numRef>
          </c:yVal>
          <c:smooth val="1"/>
        </c:ser>
        <c:dLbls>
          <c:showLegendKey val="0"/>
          <c:showVal val="0"/>
          <c:showCatName val="0"/>
          <c:showSerName val="0"/>
          <c:showPercent val="0"/>
          <c:showBubbleSize val="0"/>
        </c:dLbls>
        <c:axId val="175885696"/>
        <c:axId val="175887872"/>
      </c:scatterChart>
      <c:scatterChart>
        <c:scatterStyle val="smooth"/>
        <c:varyColors val="0"/>
        <c:ser>
          <c:idx val="1"/>
          <c:order val="1"/>
          <c:tx>
            <c:strRef>
              <c:f>"Phase (deg)"</c:f>
              <c:strCache>
                <c:ptCount val="1"/>
                <c:pt idx="0">
                  <c:v>Phase (deg)</c:v>
                </c:pt>
              </c:strCache>
            </c:strRef>
          </c:tx>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Loop_Modeling!$BH$19:$BH$560</c:f>
              <c:numCache>
                <c:formatCode>General</c:formatCode>
                <c:ptCount val="542"/>
                <c:pt idx="0">
                  <c:v>86.0058623057596</c:v>
                </c:pt>
                <c:pt idx="1">
                  <c:v>85.9138386603732</c:v>
                </c:pt>
                <c:pt idx="2">
                  <c:v>85.8197431614423</c:v>
                </c:pt>
                <c:pt idx="3">
                  <c:v>85.7235325882717</c:v>
                </c:pt>
                <c:pt idx="4">
                  <c:v>85.6251630635294</c:v>
                </c:pt>
                <c:pt idx="5">
                  <c:v>85.5245900617633</c:v>
                </c:pt>
                <c:pt idx="6">
                  <c:v>85.4217684196751</c:v>
                </c:pt>
                <c:pt idx="7">
                  <c:v>85.3166523482851</c:v>
                </c:pt>
                <c:pt idx="8">
                  <c:v>85.2091954471326</c:v>
                </c:pt>
                <c:pt idx="9">
                  <c:v>85.0993507206633</c:v>
                </c:pt>
                <c:pt idx="10">
                  <c:v>84.9870705969643</c:v>
                </c:pt>
                <c:pt idx="11">
                  <c:v>84.8723069490151</c:v>
                </c:pt>
                <c:pt idx="12">
                  <c:v>84.7550111186344</c:v>
                </c:pt>
                <c:pt idx="13">
                  <c:v>84.6351339433093</c:v>
                </c:pt>
                <c:pt idx="14">
                  <c:v>84.5126257861067</c:v>
                </c:pt>
                <c:pt idx="15">
                  <c:v>84.3874365688718</c:v>
                </c:pt>
                <c:pt idx="16">
                  <c:v>84.2595158089349</c:v>
                </c:pt>
                <c:pt idx="17">
                  <c:v>84.128812659551</c:v>
                </c:pt>
                <c:pt idx="18">
                  <c:v>83.9952759543155</c:v>
                </c:pt>
                <c:pt idx="19">
                  <c:v>83.8588542558011</c:v>
                </c:pt>
                <c:pt idx="20">
                  <c:v>83.7194959086773</c:v>
                </c:pt>
                <c:pt idx="21">
                  <c:v>83.5771490975848</c:v>
                </c:pt>
                <c:pt idx="22">
                  <c:v>83.4317619100408</c:v>
                </c:pt>
                <c:pt idx="23">
                  <c:v>83.2832824046702</c:v>
                </c:pt>
                <c:pt idx="24">
                  <c:v>83.1316586850602</c:v>
                </c:pt>
                <c:pt idx="25">
                  <c:v>82.9768389795483</c:v>
                </c:pt>
                <c:pt idx="26">
                  <c:v>82.8187717272625</c:v>
                </c:pt>
                <c:pt idx="27">
                  <c:v>82.6574056707391</c:v>
                </c:pt>
                <c:pt idx="28">
                  <c:v>82.4926899554487</c:v>
                </c:pt>
                <c:pt idx="29">
                  <c:v>82.3245742365724</c:v>
                </c:pt>
                <c:pt idx="30">
                  <c:v>82.1530087933676</c:v>
                </c:pt>
                <c:pt idx="31">
                  <c:v>81.9779446514702</c:v>
                </c:pt>
                <c:pt idx="32">
                  <c:v>81.79933371348</c:v>
                </c:pt>
                <c:pt idx="33">
                  <c:v>81.617128898173</c:v>
                </c:pt>
                <c:pt idx="34">
                  <c:v>81.4312842886846</c:v>
                </c:pt>
                <c:pt idx="35">
                  <c:v>81.2417552899966</c:v>
                </c:pt>
                <c:pt idx="36">
                  <c:v>81.0484987960569</c:v>
                </c:pt>
                <c:pt idx="37">
                  <c:v>80.851473366844</c:v>
                </c:pt>
                <c:pt idx="38">
                  <c:v>80.6506394156736</c:v>
                </c:pt>
                <c:pt idx="39">
                  <c:v>80.4459594070251</c:v>
                </c:pt>
                <c:pt idx="40">
                  <c:v>80.2373980651384</c:v>
                </c:pt>
                <c:pt idx="41">
                  <c:v>80.0249225936035</c:v>
                </c:pt>
                <c:pt idx="42">
                  <c:v>79.8085029061278</c:v>
                </c:pt>
                <c:pt idx="43">
                  <c:v>79.5881118686263</c:v>
                </c:pt>
                <c:pt idx="44">
                  <c:v>79.3637255527304</c:v>
                </c:pt>
                <c:pt idx="45">
                  <c:v>79.135323500759</c:v>
                </c:pt>
                <c:pt idx="46">
                  <c:v>78.9028890021286</c:v>
                </c:pt>
                <c:pt idx="47">
                  <c:v>78.6664093811188</c:v>
                </c:pt>
                <c:pt idx="48">
                  <c:v>78.4258762958209</c:v>
                </c:pt>
                <c:pt idx="49">
                  <c:v>78.1812860480198</c:v>
                </c:pt>
                <c:pt idx="50">
                  <c:v>77.9326399036648</c:v>
                </c:pt>
                <c:pt idx="51">
                  <c:v>77.6799444234747</c:v>
                </c:pt>
                <c:pt idx="52">
                  <c:v>77.4232118031206</c:v>
                </c:pt>
                <c:pt idx="53">
                  <c:v>77.1624602222997</c:v>
                </c:pt>
                <c:pt idx="54">
                  <c:v>76.8977142018888</c:v>
                </c:pt>
                <c:pt idx="55">
                  <c:v>76.6290049682286</c:v>
                </c:pt>
                <c:pt idx="56">
                  <c:v>76.3563708234355</c:v>
                </c:pt>
                <c:pt idx="57">
                  <c:v>76.0798575204923</c:v>
                </c:pt>
                <c:pt idx="58">
                  <c:v>75.7995186417023</c:v>
                </c:pt>
                <c:pt idx="59">
                  <c:v>75.5154159789222</c:v>
                </c:pt>
                <c:pt idx="60">
                  <c:v>75.2276199138214</c:v>
                </c:pt>
                <c:pt idx="61">
                  <c:v>74.9362097962332</c:v>
                </c:pt>
                <c:pt idx="62">
                  <c:v>74.6412743184895</c:v>
                </c:pt>
                <c:pt idx="63">
                  <c:v>74.3429118834482</c:v>
                </c:pt>
                <c:pt idx="64">
                  <c:v>74.041230963749</c:v>
                </c:pt>
                <c:pt idx="65">
                  <c:v>73.7363504496579</c:v>
                </c:pt>
                <c:pt idx="66">
                  <c:v>73.4283999826986</c:v>
                </c:pt>
                <c:pt idx="67">
                  <c:v>73.1175202721103</c:v>
                </c:pt>
                <c:pt idx="68">
                  <c:v>72.8038633910305</c:v>
                </c:pt>
                <c:pt idx="69">
                  <c:v>72.4875930491731</c:v>
                </c:pt>
                <c:pt idx="70">
                  <c:v>72.1688848386669</c:v>
                </c:pt>
                <c:pt idx="71">
                  <c:v>71.8479264496324</c:v>
                </c:pt>
                <c:pt idx="72">
                  <c:v>71.5249178520182</c:v>
                </c:pt>
                <c:pt idx="73">
                  <c:v>71.2000714401876</c:v>
                </c:pt>
                <c:pt idx="74">
                  <c:v>70.8736121367523</c:v>
                </c:pt>
                <c:pt idx="75">
                  <c:v>70.5457774521892</c:v>
                </c:pt>
                <c:pt idx="76">
                  <c:v>70.2168174968525</c:v>
                </c:pt>
                <c:pt idx="77">
                  <c:v>69.8869949421194</c:v>
                </c:pt>
                <c:pt idx="78">
                  <c:v>69.5565849275622</c:v>
                </c:pt>
                <c:pt idx="79">
                  <c:v>69.225874911258</c:v>
                </c:pt>
                <c:pt idx="80">
                  <c:v>68.8951644605883</c:v>
                </c:pt>
                <c:pt idx="81">
                  <c:v>68.5647649811892</c:v>
                </c:pt>
                <c:pt idx="82">
                  <c:v>68.2349993820493</c:v>
                </c:pt>
                <c:pt idx="83">
                  <c:v>67.9062016751404</c:v>
                </c:pt>
                <c:pt idx="84">
                  <c:v>67.5787165083939</c:v>
                </c:pt>
                <c:pt idx="85">
                  <c:v>67.2528986312939</c:v>
                </c:pt>
                <c:pt idx="86">
                  <c:v>66.9291122928597</c:v>
                </c:pt>
                <c:pt idx="87">
                  <c:v>66.6077305723115</c:v>
                </c:pt>
                <c:pt idx="88">
                  <c:v>66.2891346432588</c:v>
                </c:pt>
                <c:pt idx="89">
                  <c:v>65.9737129728096</c:v>
                </c:pt>
                <c:pt idx="90">
                  <c:v>65.6618604575744</c:v>
                </c:pt>
                <c:pt idx="91">
                  <c:v>65.3539774991009</c:v>
                </c:pt>
                <c:pt idx="92">
                  <c:v>65.0504690218399</c:v>
                </c:pt>
                <c:pt idx="93">
                  <c:v>64.7517434372923</c:v>
                </c:pt>
                <c:pt idx="94">
                  <c:v>64.4582115585072</c:v>
                </c:pt>
                <c:pt idx="95">
                  <c:v>64.1702854695935</c:v>
                </c:pt>
                <c:pt idx="96">
                  <c:v>63.8883773553646</c:v>
                </c:pt>
                <c:pt idx="97">
                  <c:v>63.6128982966404</c:v>
                </c:pt>
                <c:pt idx="98">
                  <c:v>63.3442570370948</c:v>
                </c:pt>
                <c:pt idx="99">
                  <c:v>63.0828587278342</c:v>
                </c:pt>
                <c:pt idx="100">
                  <c:v>62.8291036561447</c:v>
                </c:pt>
                <c:pt idx="101">
                  <c:v>62.5833859650141</c:v>
                </c:pt>
                <c:pt idx="102">
                  <c:v>62.3460923701752</c:v>
                </c:pt>
                <c:pt idx="103">
                  <c:v>62.1176008814476</c:v>
                </c:pt>
                <c:pt idx="104">
                  <c:v>61.8982795351712</c:v>
                </c:pt>
                <c:pt idx="105">
                  <c:v>61.6884851444411</c:v>
                </c:pt>
                <c:pt idx="106">
                  <c:v>61.4885620737409</c:v>
                </c:pt>
                <c:pt idx="107">
                  <c:v>61.2988410443926</c:v>
                </c:pt>
                <c:pt idx="108">
                  <c:v>61.119637977012</c:v>
                </c:pt>
                <c:pt idx="109">
                  <c:v>60.9512528769031</c:v>
                </c:pt>
                <c:pt idx="110">
                  <c:v>60.7939687680127</c:v>
                </c:pt>
                <c:pt idx="111">
                  <c:v>60.6480506807417</c:v>
                </c:pt>
                <c:pt idx="112">
                  <c:v>60.5137446985514</c:v>
                </c:pt>
                <c:pt idx="113">
                  <c:v>60.3912770679238</c:v>
                </c:pt>
                <c:pt idx="114">
                  <c:v>60.2808533758577</c:v>
                </c:pt>
                <c:pt idx="115">
                  <c:v>60.182657798684</c:v>
                </c:pt>
                <c:pt idx="116">
                  <c:v>60.0968524255801</c:v>
                </c:pt>
                <c:pt idx="117">
                  <c:v>60.0235766597798</c:v>
                </c:pt>
                <c:pt idx="118">
                  <c:v>59.962946700067</c:v>
                </c:pt>
                <c:pt idx="119">
                  <c:v>59.9150551047729</c:v>
                </c:pt>
                <c:pt idx="120">
                  <c:v>59.8799704400845</c:v>
                </c:pt>
                <c:pt idx="121">
                  <c:v>59.8577370141362</c:v>
                </c:pt>
                <c:pt idx="122">
                  <c:v>59.8483746979509</c:v>
                </c:pt>
                <c:pt idx="123">
                  <c:v>59.8518788339573</c:v>
                </c:pt>
                <c:pt idx="124">
                  <c:v>59.8682202324418</c:v>
                </c:pt>
                <c:pt idx="125">
                  <c:v>59.8973452559352</c:v>
                </c:pt>
                <c:pt idx="126">
                  <c:v>59.9391759911829</c:v>
                </c:pt>
                <c:pt idx="127">
                  <c:v>59.993610507975</c:v>
                </c:pt>
                <c:pt idx="128">
                  <c:v>60.0605232037685</c:v>
                </c:pt>
                <c:pt idx="129">
                  <c:v>60.1397652326479</c:v>
                </c:pt>
                <c:pt idx="130">
                  <c:v>60.231165016802</c:v>
                </c:pt>
                <c:pt idx="131">
                  <c:v>60.3345288383192</c:v>
                </c:pt>
                <c:pt idx="132">
                  <c:v>60.4496415087022</c:v>
                </c:pt>
                <c:pt idx="133">
                  <c:v>60.5762671131239</c:v>
                </c:pt>
                <c:pt idx="134">
                  <c:v>60.7141498260415</c:v>
                </c:pt>
                <c:pt idx="135">
                  <c:v>60.8630147943857</c:v>
                </c:pt>
                <c:pt idx="136">
                  <c:v>61.0225690841606</c:v>
                </c:pt>
                <c:pt idx="137">
                  <c:v>61.1925026858878</c:v>
                </c:pt>
                <c:pt idx="138">
                  <c:v>61.3724895739631</c:v>
                </c:pt>
                <c:pt idx="139">
                  <c:v>61.5621888146377</c:v>
                </c:pt>
                <c:pt idx="140">
                  <c:v>61.7612457169951</c:v>
                </c:pt>
                <c:pt idx="141">
                  <c:v>61.9692930210059</c:v>
                </c:pt>
                <c:pt idx="142">
                  <c:v>62.1859521164572</c:v>
                </c:pt>
                <c:pt idx="143">
                  <c:v>62.4108342863498</c:v>
                </c:pt>
                <c:pt idx="144">
                  <c:v>62.6435419681621</c:v>
                </c:pt>
                <c:pt idx="145">
                  <c:v>62.8836700262646</c:v>
                </c:pt>
                <c:pt idx="146">
                  <c:v>63.130807028696</c:v>
                </c:pt>
                <c:pt idx="147">
                  <c:v>63.3845365215085</c:v>
                </c:pt>
                <c:pt idx="148">
                  <c:v>63.6444382939405</c:v>
                </c:pt>
                <c:pt idx="149">
                  <c:v>63.9100896277936</c:v>
                </c:pt>
                <c:pt idx="150">
                  <c:v>64.181066524573</c:v>
                </c:pt>
                <c:pt idx="151">
                  <c:v>64.4569449041923</c:v>
                </c:pt>
                <c:pt idx="152">
                  <c:v>64.7373017693428</c:v>
                </c:pt>
                <c:pt idx="153">
                  <c:v>65.0217163299902</c:v>
                </c:pt>
                <c:pt idx="154">
                  <c:v>65.3097710828675</c:v>
                </c:pt>
                <c:pt idx="155">
                  <c:v>65.6010528412806</c:v>
                </c:pt>
                <c:pt idx="156">
                  <c:v>65.8951537110452</c:v>
                </c:pt>
                <c:pt idx="157">
                  <c:v>66.1916720088871</c:v>
                </c:pt>
                <c:pt idx="158">
                  <c:v>66.490213120186</c:v>
                </c:pt>
                <c:pt idx="159">
                  <c:v>66.7903902935108</c:v>
                </c:pt>
                <c:pt idx="160">
                  <c:v>67.091825369951</c:v>
                </c:pt>
                <c:pt idx="161">
                  <c:v>67.3941494458332</c:v>
                </c:pt>
                <c:pt idx="162">
                  <c:v>67.6970034679578</c:v>
                </c:pt>
                <c:pt idx="163">
                  <c:v>68.0000387610468</c:v>
                </c:pt>
                <c:pt idx="164">
                  <c:v>68.302917487614</c:v>
                </c:pt>
                <c:pt idx="165">
                  <c:v>68.6053130409606</c:v>
                </c:pt>
                <c:pt idx="166">
                  <c:v>68.9069103724754</c:v>
                </c:pt>
                <c:pt idx="167">
                  <c:v>69.2074062548299</c:v>
                </c:pt>
                <c:pt idx="168">
                  <c:v>69.5065094830564</c:v>
                </c:pt>
                <c:pt idx="169">
                  <c:v>69.8039410158316</c:v>
                </c:pt>
                <c:pt idx="170">
                  <c:v>70.0994340595999</c:v>
                </c:pt>
                <c:pt idx="171">
                  <c:v>70.3927340984031</c:v>
                </c:pt>
                <c:pt idx="172">
                  <c:v>70.6835988725163</c:v>
                </c:pt>
                <c:pt idx="173">
                  <c:v>70.9717983091315</c:v>
                </c:pt>
                <c:pt idx="174">
                  <c:v>71.2571144084619</c:v>
                </c:pt>
                <c:pt idx="175">
                  <c:v>71.5393410887205</c:v>
                </c:pt>
                <c:pt idx="176">
                  <c:v>71.818283993458</c:v>
                </c:pt>
                <c:pt idx="177">
                  <c:v>72.0937602647543</c:v>
                </c:pt>
                <c:pt idx="178">
                  <c:v>72.365598285734</c:v>
                </c:pt>
                <c:pt idx="179">
                  <c:v>72.6336373958052</c:v>
                </c:pt>
                <c:pt idx="180">
                  <c:v>72.8977275819452</c:v>
                </c:pt>
                <c:pt idx="181">
                  <c:v>73.1577291492513</c:v>
                </c:pt>
                <c:pt idx="182">
                  <c:v>73.4135123738332</c:v>
                </c:pt>
                <c:pt idx="183">
                  <c:v>73.6649571409994</c:v>
                </c:pt>
                <c:pt idx="184">
                  <c:v>73.9119525715178</c:v>
                </c:pt>
                <c:pt idx="185">
                  <c:v>74.1543966385701</c:v>
                </c:pt>
                <c:pt idx="186">
                  <c:v>74.3921957778512</c:v>
                </c:pt>
                <c:pt idx="187">
                  <c:v>74.6252644930748</c:v>
                </c:pt>
                <c:pt idx="188">
                  <c:v>74.8535249589833</c:v>
                </c:pt>
                <c:pt idx="189">
                  <c:v>75.0769066237617</c:v>
                </c:pt>
                <c:pt idx="190">
                  <c:v>75.2953458125907</c:v>
                </c:pt>
                <c:pt idx="191">
                  <c:v>75.5087853338981</c:v>
                </c:pt>
                <c:pt idx="192">
                  <c:v>75.7171740896892</c:v>
                </c:pt>
                <c:pt idx="193">
                  <c:v>75.9204666911843</c:v>
                </c:pt>
                <c:pt idx="194">
                  <c:v>76.11862308083</c:v>
                </c:pt>
                <c:pt idx="195">
                  <c:v>76.3116081615991</c:v>
                </c:pt>
                <c:pt idx="196">
                  <c:v>76.4993914343612</c:v>
                </c:pt>
                <c:pt idx="197">
                  <c:v>76.6819466439674</c:v>
                </c:pt>
                <c:pt idx="198">
                  <c:v>76.8592514345688</c:v>
                </c:pt>
                <c:pt idx="199">
                  <c:v>77.0312870145841</c:v>
                </c:pt>
                <c:pt idx="200">
                  <c:v>77.1980378316102</c:v>
                </c:pt>
                <c:pt idx="201">
                  <c:v>77.3594912574892</c:v>
                </c:pt>
                <c:pt idx="202">
                  <c:v>77.5156372836464</c:v>
                </c:pt>
                <c:pt idx="203">
                  <c:v>77.6664682267359</c:v>
                </c:pt>
                <c:pt idx="204">
                  <c:v>77.811978444564</c:v>
                </c:pt>
                <c:pt idx="205">
                  <c:v>77.9521640621885</c:v>
                </c:pt>
                <c:pt idx="206">
                  <c:v>78.0870227080403</c:v>
                </c:pt>
                <c:pt idx="207">
                  <c:v>78.2165532598599</c:v>
                </c:pt>
                <c:pt idx="208">
                  <c:v>78.3407556002013</c:v>
                </c:pt>
                <c:pt idx="209">
                  <c:v>78.459630381211</c:v>
                </c:pt>
                <c:pt idx="210">
                  <c:v>78.5731787983646</c:v>
                </c:pt>
                <c:pt idx="211">
                  <c:v>78.6814023728101</c:v>
                </c:pt>
                <c:pt idx="212">
                  <c:v>78.784302741945</c:v>
                </c:pt>
                <c:pt idx="213">
                  <c:v>78.8818814578394</c:v>
                </c:pt>
                <c:pt idx="214">
                  <c:v>78.9741397930943</c:v>
                </c:pt>
                <c:pt idx="215">
                  <c:v>79.0610785537225</c:v>
                </c:pt>
                <c:pt idx="216">
                  <c:v>79.1426978986216</c:v>
                </c:pt>
                <c:pt idx="217">
                  <c:v>79.2189971652125</c:v>
                </c:pt>
                <c:pt idx="218">
                  <c:v>79.2899747008041</c:v>
                </c:pt>
                <c:pt idx="219">
                  <c:v>79.3556276992553</c:v>
                </c:pt>
                <c:pt idx="220">
                  <c:v>79.415952042498</c:v>
                </c:pt>
                <c:pt idx="221">
                  <c:v>79.4709421464938</c:v>
                </c:pt>
                <c:pt idx="222">
                  <c:v>79.5205908112031</c:v>
                </c:pt>
                <c:pt idx="223">
                  <c:v>79.5648890741484</c:v>
                </c:pt>
                <c:pt idx="224">
                  <c:v>79.603826067168</c:v>
                </c:pt>
                <c:pt idx="225">
                  <c:v>79.6373888759647</c:v>
                </c:pt>
                <c:pt idx="226">
                  <c:v>79.6655624020651</c:v>
                </c:pt>
                <c:pt idx="227">
                  <c:v>79.6883292268211</c:v>
                </c:pt>
                <c:pt idx="228">
                  <c:v>79.7056694770997</c:v>
                </c:pt>
                <c:pt idx="229">
                  <c:v>79.7175606923236</c:v>
                </c:pt>
                <c:pt idx="230">
                  <c:v>79.7239776925451</c:v>
                </c:pt>
                <c:pt idx="231">
                  <c:v>79.7248924472532</c:v>
                </c:pt>
                <c:pt idx="232">
                  <c:v>79.7202739446397</c:v>
                </c:pt>
                <c:pt idx="233">
                  <c:v>79.7100880610706</c:v>
                </c:pt>
                <c:pt idx="234">
                  <c:v>79.6942974305384</c:v>
                </c:pt>
                <c:pt idx="235">
                  <c:v>79.6728613138951</c:v>
                </c:pt>
                <c:pt idx="236">
                  <c:v>79.6457354677034</c:v>
                </c:pt>
                <c:pt idx="237">
                  <c:v>79.6128720125683</c:v>
                </c:pt>
                <c:pt idx="238">
                  <c:v>79.5742193008548</c:v>
                </c:pt>
                <c:pt idx="239">
                  <c:v>79.5297217837368</c:v>
                </c:pt>
                <c:pt idx="240">
                  <c:v>79.4793198775585</c:v>
                </c:pt>
                <c:pt idx="241">
                  <c:v>79.422949829545</c:v>
                </c:pt>
                <c:pt idx="242">
                  <c:v>79.3605435829425</c:v>
                </c:pt>
                <c:pt idx="243">
                  <c:v>79.2920286417282</c:v>
                </c:pt>
                <c:pt idx="244">
                  <c:v>79.2173279350835</c:v>
                </c:pt>
                <c:pt idx="245">
                  <c:v>79.1363596818946</c:v>
                </c:pt>
                <c:pt idx="246">
                  <c:v>79.0490372556037</c:v>
                </c:pt>
                <c:pt idx="247">
                  <c:v>78.9552690498173</c:v>
                </c:pt>
                <c:pt idx="248">
                  <c:v>78.8549583451481</c:v>
                </c:pt>
                <c:pt idx="249">
                  <c:v>78.7480031778541</c:v>
                </c:pt>
                <c:pt idx="250">
                  <c:v>78.6342962109271</c:v>
                </c:pt>
                <c:pt idx="251">
                  <c:v>78.5137246083739</c:v>
                </c:pt>
                <c:pt idx="252">
                  <c:v>78.3861699135351</c:v>
                </c:pt>
                <c:pt idx="253">
                  <c:v>78.251507932386</c:v>
                </c:pt>
                <c:pt idx="254">
                  <c:v>78.1096086228722</c:v>
                </c:pt>
                <c:pt idx="255">
                  <c:v>77.9603359914488</c:v>
                </c:pt>
                <c:pt idx="256">
                  <c:v>77.803547998093</c:v>
                </c:pt>
                <c:pt idx="257">
                  <c:v>77.6390964711949</c:v>
                </c:pt>
                <c:pt idx="258">
                  <c:v>77.4668270338298</c:v>
                </c:pt>
                <c:pt idx="259">
                  <c:v>77.2865790430488</c:v>
                </c:pt>
                <c:pt idx="260">
                  <c:v>77.0981855439312</c:v>
                </c:pt>
                <c:pt idx="261">
                  <c:v>76.901473240259</c:v>
                </c:pt>
                <c:pt idx="262">
                  <c:v>76.6962624837864</c:v>
                </c:pt>
                <c:pt idx="263">
                  <c:v>76.4823672841716</c:v>
                </c:pt>
                <c:pt idx="264">
                  <c:v>76.2595953417417</c:v>
                </c:pt>
                <c:pt idx="265">
                  <c:v>76.0277481053335</c:v>
                </c:pt>
                <c:pt idx="266">
                  <c:v>75.7866208575305</c:v>
                </c:pt>
                <c:pt idx="267">
                  <c:v>75.5360028296594</c:v>
                </c:pt>
                <c:pt idx="268">
                  <c:v>75.2756773489453</c:v>
                </c:pt>
                <c:pt idx="269">
                  <c:v>75.0054220202325</c:v>
                </c:pt>
                <c:pt idx="270">
                  <c:v>74.7250089446585</c:v>
                </c:pt>
                <c:pt idx="271">
                  <c:v>74.4342049776197</c:v>
                </c:pt>
                <c:pt idx="272">
                  <c:v>74.1327720282891</c:v>
                </c:pt>
                <c:pt idx="273">
                  <c:v>73.8204674028317</c:v>
                </c:pt>
                <c:pt idx="274">
                  <c:v>73.497044193302</c:v>
                </c:pt>
                <c:pt idx="275">
                  <c:v>73.1622517140181</c:v>
                </c:pt>
                <c:pt idx="276">
                  <c:v>72.815835986964</c:v>
                </c:pt>
                <c:pt idx="277">
                  <c:v>72.4575402774908</c:v>
                </c:pt>
                <c:pt idx="278">
                  <c:v>72.0871056812459</c:v>
                </c:pt>
                <c:pt idx="279">
                  <c:v>71.7042717629025</c:v>
                </c:pt>
                <c:pt idx="280">
                  <c:v>71.3087772468058</c:v>
                </c:pt>
                <c:pt idx="281">
                  <c:v>70.9003607592254</c:v>
                </c:pt>
                <c:pt idx="282">
                  <c:v>70.4787616213482</c:v>
                </c:pt>
                <c:pt idx="283">
                  <c:v>70.0437206916304</c:v>
                </c:pt>
                <c:pt idx="284">
                  <c:v>69.594981255524</c:v>
                </c:pt>
                <c:pt idx="285">
                  <c:v>69.132289959979</c:v>
                </c:pt>
                <c:pt idx="286">
                  <c:v>68.6553977895009</c:v>
                </c:pt>
                <c:pt idx="287">
                  <c:v>68.164061079868</c:v>
                </c:pt>
                <c:pt idx="288">
                  <c:v>67.6580425649818</c:v>
                </c:pt>
                <c:pt idx="289">
                  <c:v>67.1371124516474</c:v>
                </c:pt>
                <c:pt idx="290">
                  <c:v>66.6010495164674</c:v>
                </c:pt>
                <c:pt idx="291">
                  <c:v>66.0496422183941</c:v>
                </c:pt>
                <c:pt idx="292">
                  <c:v>65.4826898199373</c:v>
                </c:pt>
                <c:pt idx="293">
                  <c:v>64.9000035094848</c:v>
                </c:pt>
                <c:pt idx="294">
                  <c:v>64.3014075167251</c:v>
                </c:pt>
                <c:pt idx="295">
                  <c:v>63.6867402127973</c:v>
                </c:pt>
                <c:pt idx="296">
                  <c:v>63.0558551864513</c:v>
                </c:pt>
                <c:pt idx="297">
                  <c:v>62.408622287319</c:v>
                </c:pt>
                <c:pt idx="298">
                  <c:v>61.7449286272668</c:v>
                </c:pt>
                <c:pt idx="299">
                  <c:v>61.0646795308099</c:v>
                </c:pt>
                <c:pt idx="300">
                  <c:v>60.367799425671</c:v>
                </c:pt>
                <c:pt idx="301">
                  <c:v>59.6542326648099</c:v>
                </c:pt>
                <c:pt idx="302">
                  <c:v>58.9239442715946</c:v>
                </c:pt>
                <c:pt idx="303">
                  <c:v>58.1769206002492</c:v>
                </c:pt>
                <c:pt idx="304">
                  <c:v>57.4131699043157</c:v>
                </c:pt>
                <c:pt idx="305">
                  <c:v>56.6327228065545</c:v>
                </c:pt>
                <c:pt idx="306">
                  <c:v>55.8356326645089</c:v>
                </c:pt>
                <c:pt idx="307">
                  <c:v>55.021975826862</c:v>
                </c:pt>
                <c:pt idx="308">
                  <c:v>54.1918517766797</c:v>
                </c:pt>
                <c:pt idx="309">
                  <c:v>53.3453831587023</c:v>
                </c:pt>
                <c:pt idx="310">
                  <c:v>52.48271568893</c:v>
                </c:pt>
                <c:pt idx="311">
                  <c:v>51.6040179459058</c:v>
                </c:pt>
                <c:pt idx="312">
                  <c:v>50.7094810442573</c:v>
                </c:pt>
                <c:pt idx="313">
                  <c:v>49.7993181922458</c:v>
                </c:pt>
                <c:pt idx="314">
                  <c:v>48.8737641362174</c:v>
                </c:pt>
                <c:pt idx="315">
                  <c:v>47.9330744960117</c:v>
                </c:pt>
                <c:pt idx="316">
                  <c:v>46.9775249964531</c:v>
                </c:pt>
                <c:pt idx="317">
                  <c:v>46.0074106011047</c:v>
                </c:pt>
                <c:pt idx="318">
                  <c:v>45.0230445554345</c:v>
                </c:pt>
                <c:pt idx="319">
                  <c:v>44.0247573473934</c:v>
                </c:pt>
                <c:pt idx="320">
                  <c:v>43.0128955942188</c:v>
                </c:pt>
                <c:pt idx="321">
                  <c:v>41.9878208649414</c:v>
                </c:pt>
                <c:pt idx="322">
                  <c:v>40.9499084486269</c:v>
                </c:pt>
                <c:pt idx="323">
                  <c:v>39.8995460788364</c:v>
                </c:pt>
                <c:pt idx="324">
                  <c:v>38.8371326251018</c:v>
                </c:pt>
                <c:pt idx="325">
                  <c:v>37.7630767623981</c:v>
                </c:pt>
                <c:pt idx="326">
                  <c:v>36.6777956296674</c:v>
                </c:pt>
                <c:pt idx="327">
                  <c:v>35.5817134883614</c:v>
                </c:pt>
                <c:pt idx="328">
                  <c:v>34.4752603918128</c:v>
                </c:pt>
                <c:pt idx="329">
                  <c:v>33.3588708759111</c:v>
                </c:pt>
                <c:pt idx="330">
                  <c:v>32.2329826811615</c:v>
                </c:pt>
                <c:pt idx="331">
                  <c:v>31.0980355156551</c:v>
                </c:pt>
                <c:pt idx="332">
                  <c:v>29.9544698678974</c:v>
                </c:pt>
                <c:pt idx="333">
                  <c:v>28.8027258776859</c:v>
                </c:pt>
                <c:pt idx="334">
                  <c:v>27.6432422724902</c:v>
                </c:pt>
                <c:pt idx="335">
                  <c:v>26.4764553759016</c:v>
                </c:pt>
                <c:pt idx="336">
                  <c:v>25.3027981938486</c:v>
                </c:pt>
                <c:pt idx="337">
                  <c:v>24.1226995832903</c:v>
                </c:pt>
                <c:pt idx="338">
                  <c:v>22.9365835071725</c:v>
                </c:pt>
                <c:pt idx="339">
                  <c:v>21.7448683783931</c:v>
                </c:pt>
                <c:pt idx="340">
                  <c:v>20.5479664945552</c:v>
                </c:pt>
                <c:pt idx="341">
                  <c:v>19.3462835642701</c:v>
                </c:pt>
                <c:pt idx="342">
                  <c:v>18.1402183248133</c:v>
                </c:pt>
                <c:pt idx="343">
                  <c:v>16.9301622499691</c:v>
                </c:pt>
                <c:pt idx="344">
                  <c:v>15.7164993459862</c:v>
                </c:pt>
                <c:pt idx="345">
                  <c:v>14.4996060326983</c:v>
                </c:pt>
                <c:pt idx="346">
                  <c:v>13.2798511060443</c:v>
                </c:pt>
                <c:pt idx="347">
                  <c:v>12.057595777463</c:v>
                </c:pt>
                <c:pt idx="348">
                  <c:v>10.8331937849385</c:v>
                </c:pt>
                <c:pt idx="349">
                  <c:v>9.60699156986406</c:v>
                </c:pt>
                <c:pt idx="350">
                  <c:v>8.3793285133387</c:v>
                </c:pt>
                <c:pt idx="351">
                  <c:v>7.15053722505297</c:v>
                </c:pt>
                <c:pt idx="352">
                  <c:v>5.920943877528</c:v>
                </c:pt>
                <c:pt idx="353">
                  <c:v>4.69086857820034</c:v>
                </c:pt>
                <c:pt idx="354">
                  <c:v>3.46062577160124</c:v>
                </c:pt>
                <c:pt idx="355">
                  <c:v>2.23052466379527</c:v>
                </c:pt>
                <c:pt idx="356">
                  <c:v>1.00086966116886</c:v>
                </c:pt>
                <c:pt idx="357">
                  <c:v>-0.228039184254469</c:v>
                </c:pt>
                <c:pt idx="358">
                  <c:v>-1.45590573069257</c:v>
                </c:pt>
                <c:pt idx="359">
                  <c:v>-2.68243731115907</c:v>
                </c:pt>
                <c:pt idx="360">
                  <c:v>-3.90734431389526</c:v>
                </c:pt>
                <c:pt idx="361">
                  <c:v>-5.13033978550257</c:v>
                </c:pt>
                <c:pt idx="362">
                  <c:v>-6.35113906317026</c:v>
                </c:pt>
                <c:pt idx="363">
                  <c:v>-7.56945944187094</c:v>
                </c:pt>
                <c:pt idx="364">
                  <c:v>-8.78501988184846</c:v>
                </c:pt>
                <c:pt idx="365">
                  <c:v>-9.99754076109243</c:v>
                </c:pt>
                <c:pt idx="366">
                  <c:v>-11.2067436768345</c:v>
                </c:pt>
                <c:pt idx="367">
                  <c:v>-12.4123512993958</c:v>
                </c:pt>
                <c:pt idx="368">
                  <c:v>-13.6140872809801</c:v>
                </c:pt>
                <c:pt idx="369">
                  <c:v>-14.8116762212553</c:v>
                </c:pt>
                <c:pt idx="370">
                  <c:v>-16.004843690795</c:v>
                </c:pt>
                <c:pt idx="371">
                  <c:v>-17.1933163126853</c:v>
                </c:pt>
                <c:pt idx="372">
                  <c:v>-18.3768219018331</c:v>
                </c:pt>
                <c:pt idx="373">
                  <c:v>-19.5550896607705</c:v>
                </c:pt>
                <c:pt idx="374">
                  <c:v>-20.7278504300308</c:v>
                </c:pt>
                <c:pt idx="375">
                  <c:v>-21.8948369904848</c:v>
                </c:pt>
                <c:pt idx="376">
                  <c:v>-23.055784414386</c:v>
                </c:pt>
                <c:pt idx="377">
                  <c:v>-24.2104304612998</c:v>
                </c:pt>
                <c:pt idx="378">
                  <c:v>-25.3585160145522</c:v>
                </c:pt>
                <c:pt idx="379">
                  <c:v>-26.4997855533953</c:v>
                </c:pt>
                <c:pt idx="380">
                  <c:v>-27.6339876556869</c:v>
                </c:pt>
                <c:pt idx="381">
                  <c:v>-28.7608755255973</c:v>
                </c:pt>
                <c:pt idx="382">
                  <c:v>-29.8802075406205</c:v>
                </c:pt>
                <c:pt idx="383">
                  <c:v>-30.991747812026</c:v>
                </c:pt>
                <c:pt idx="384">
                  <c:v>-32.0952667528465</c:v>
                </c:pt>
                <c:pt idx="385">
                  <c:v>-33.190541647494</c:v>
                </c:pt>
                <c:pt idx="386">
                  <c:v>-34.2773572172289</c:v>
                </c:pt>
                <c:pt idx="387">
                  <c:v>-35.3555061758605</c:v>
                </c:pt>
                <c:pt idx="388">
                  <c:v>-36.4247897703235</c:v>
                </c:pt>
                <c:pt idx="389">
                  <c:v>-37.4850183010683</c:v>
                </c:pt>
                <c:pt idx="390">
                  <c:v>-38.5360116175788</c:v>
                </c:pt>
                <c:pt idx="391">
                  <c:v>-39.577599584757</c:v>
                </c:pt>
                <c:pt idx="392">
                  <c:v>-40.6096225163354</c:v>
                </c:pt>
                <c:pt idx="393">
                  <c:v>-41.6319315719981</c:v>
                </c:pt>
                <c:pt idx="394">
                  <c:v>-42.6443891153777</c:v>
                </c:pt>
                <c:pt idx="395">
                  <c:v>-43.6468690306129</c:v>
                </c:pt>
                <c:pt idx="396">
                  <c:v>-44.6392569956917</c:v>
                </c:pt>
                <c:pt idx="397">
                  <c:v>-45.6214507112989</c:v>
                </c:pt>
                <c:pt idx="398">
                  <c:v>-46.5933600844169</c:v>
                </c:pt>
                <c:pt idx="399">
                  <c:v>-47.5549073664044</c:v>
                </c:pt>
                <c:pt idx="400">
                  <c:v>-48.5060272457385</c:v>
                </c:pt>
                <c:pt idx="401">
                  <c:v>-49.4466668960551</c:v>
                </c:pt>
                <c:pt idx="402">
                  <c:v>-50.3767859804951</c:v>
                </c:pt>
                <c:pt idx="403">
                  <c:v>-51.2963566137576</c:v>
                </c:pt>
                <c:pt idx="404">
                  <c:v>-52.2053632835516</c:v>
                </c:pt>
                <c:pt idx="405">
                  <c:v>-53.1038027334341</c:v>
                </c:pt>
                <c:pt idx="406">
                  <c:v>-53.9916838092569</c:v>
                </c:pt>
                <c:pt idx="407">
                  <c:v>-54.8690272716287</c:v>
                </c:pt>
                <c:pt idx="408">
                  <c:v>-55.7358655769684</c:v>
                </c:pt>
                <c:pt idx="409">
                  <c:v>-56.5922426298171</c:v>
                </c:pt>
                <c:pt idx="410">
                  <c:v>-57.4382135091624</c:v>
                </c:pt>
                <c:pt idx="411">
                  <c:v>-58.2738441715696</c:v>
                </c:pt>
                <c:pt idx="412">
                  <c:v>-59.0992111338996</c:v>
                </c:pt>
                <c:pt idx="413">
                  <c:v>-59.9144011383929</c:v>
                </c:pt>
                <c:pt idx="414">
                  <c:v>-60.7195108028187</c:v>
                </c:pt>
                <c:pt idx="415">
                  <c:v>-61.5146462583387</c:v>
                </c:pt>
                <c:pt idx="416">
                  <c:v>-62.2999227776112</c:v>
                </c:pt>
                <c:pt idx="417">
                  <c:v>-63.0754643955651</c:v>
                </c:pt>
                <c:pt idx="418">
                  <c:v>-63.8414035251339</c:v>
                </c:pt>
                <c:pt idx="419">
                  <c:v>-64.5978805701018</c:v>
                </c:pt>
                <c:pt idx="420">
                  <c:v>-65.3450435370656</c:v>
                </c:pt>
                <c:pt idx="421">
                  <c:v>-66.0830476483611</c:v>
                </c:pt>
                <c:pt idx="422">
                  <c:v>-66.8120549576369</c:v>
                </c:pt>
                <c:pt idx="423">
                  <c:v>-67.5322339696124</c:v>
                </c:pt>
                <c:pt idx="424">
                  <c:v>-68.2437592653837</c:v>
                </c:pt>
                <c:pt idx="425">
                  <c:v>-68.9468111344877</c:v>
                </c:pt>
                <c:pt idx="426">
                  <c:v>-69.6415752147875</c:v>
                </c:pt>
                <c:pt idx="427">
                  <c:v>-70.3282421410811</c:v>
                </c:pt>
                <c:pt idx="428">
                  <c:v>-71.0070072032013</c:v>
                </c:pt>
                <c:pt idx="429">
                  <c:v>-71.6780700142356</c:v>
                </c:pt>
                <c:pt idx="430">
                  <c:v>-72.3416341893582</c:v>
                </c:pt>
                <c:pt idx="431">
                  <c:v>-72.9979070356584</c:v>
                </c:pt>
                <c:pt idx="432">
                  <c:v>-73.647099253216</c:v>
                </c:pt>
                <c:pt idx="433">
                  <c:v>-74.2894246475871</c:v>
                </c:pt>
                <c:pt idx="434">
                  <c:v>-74.9250998537458</c:v>
                </c:pt>
                <c:pt idx="435">
                  <c:v>-75.5543440714555</c:v>
                </c:pt>
                <c:pt idx="436">
                  <c:v>-76.1773788119391</c:v>
                </c:pt>
                <c:pt idx="437">
                  <c:v>-76.7944276556633</c:v>
                </c:pt>
                <c:pt idx="438">
                  <c:v>-77.4057160209636</c:v>
                </c:pt>
                <c:pt idx="439">
                  <c:v>-78.0114709431879</c:v>
                </c:pt>
                <c:pt idx="440">
                  <c:v>-78.6119208639727</c:v>
                </c:pt>
                <c:pt idx="441">
                  <c:v>-79.2072954302222</c:v>
                </c:pt>
                <c:pt idx="442">
                  <c:v>-79.7978253023095</c:v>
                </c:pt>
                <c:pt idx="443">
                  <c:v>-80.3837419709885</c:v>
                </c:pt>
                <c:pt idx="444">
                  <c:v>-80.9652775824585</c:v>
                </c:pt>
                <c:pt idx="445">
                  <c:v>-81.5426647710112</c:v>
                </c:pt>
                <c:pt idx="446">
                  <c:v>-82.1161364986443</c:v>
                </c:pt>
                <c:pt idx="447">
                  <c:v>-82.6859259010182</c:v>
                </c:pt>
                <c:pt idx="448">
                  <c:v>-83.2522661391077</c:v>
                </c:pt>
                <c:pt idx="449">
                  <c:v>-83.8153902558842</c:v>
                </c:pt>
                <c:pt idx="450">
                  <c:v>-84.375531037352</c:v>
                </c:pt>
                <c:pt idx="451">
                  <c:v>-84.9329208772528</c:v>
                </c:pt>
                <c:pt idx="452">
                  <c:v>-85.4877916447407</c:v>
                </c:pt>
                <c:pt idx="453">
                  <c:v>-86.0403745543267</c:v>
                </c:pt>
                <c:pt idx="454">
                  <c:v>-86.590900037388</c:v>
                </c:pt>
                <c:pt idx="455">
                  <c:v>-87.1395976145283</c:v>
                </c:pt>
                <c:pt idx="456">
                  <c:v>-87.6866957680855</c:v>
                </c:pt>
                <c:pt idx="457">
                  <c:v>-88.232421814073</c:v>
                </c:pt>
                <c:pt idx="458">
                  <c:v>-88.7770017728503</c:v>
                </c:pt>
                <c:pt idx="459">
                  <c:v>-89.3206602378203</c:v>
                </c:pt>
                <c:pt idx="460">
                  <c:v>-89.8636202414583</c:v>
                </c:pt>
                <c:pt idx="461">
                  <c:v>-90.4061031179819</c:v>
                </c:pt>
                <c:pt idx="462">
                  <c:v>-90.9483283619861</c:v>
                </c:pt>
                <c:pt idx="463">
                  <c:v>-91.4905134823781</c:v>
                </c:pt>
                <c:pt idx="464">
                  <c:v>-92.0328738509558</c:v>
                </c:pt>
                <c:pt idx="465">
                  <c:v>-92.5756225450009</c:v>
                </c:pt>
                <c:pt idx="466">
                  <c:v>-93.1189701832699</c:v>
                </c:pt>
                <c:pt idx="467">
                  <c:v>-93.6631247547904</c:v>
                </c:pt>
                <c:pt idx="468">
                  <c:v>-94.2082914399023</c:v>
                </c:pt>
                <c:pt idx="469">
                  <c:v>-94.7546724230061</c:v>
                </c:pt>
                <c:pt idx="470">
                  <c:v>-95.3024666965225</c:v>
                </c:pt>
                <c:pt idx="471">
                  <c:v>-95.8518698556033</c:v>
                </c:pt>
                <c:pt idx="472">
                  <c:v>-96.4030738831786</c:v>
                </c:pt>
                <c:pt idx="473">
                  <c:v>-96.9562669249776</c:v>
                </c:pt>
                <c:pt idx="474">
                  <c:v>-97.5116330542127</c:v>
                </c:pt>
                <c:pt idx="475">
                  <c:v>-98.0693520256827</c:v>
                </c:pt>
                <c:pt idx="476">
                  <c:v>-98.6295990191181</c:v>
                </c:pt>
                <c:pt idx="477">
                  <c:v>-99.1925443716676</c:v>
                </c:pt>
                <c:pt idx="478">
                  <c:v>-99.7583532995078</c:v>
                </c:pt>
                <c:pt idx="479">
                  <c:v>-100.327185608655</c:v>
                </c:pt>
                <c:pt idx="480">
                  <c:v>-100.899195395146</c:v>
                </c:pt>
                <c:pt idx="481">
                  <c:v>-101.474530734878</c:v>
                </c:pt>
                <c:pt idx="482">
                  <c:v>-102.053333363498</c:v>
                </c:pt>
                <c:pt idx="483">
                  <c:v>-102.635738346868</c:v>
                </c:pt>
                <c:pt idx="484">
                  <c:v>-103.221873742753</c:v>
                </c:pt>
                <c:pt idx="485">
                  <c:v>-103.811860254544</c:v>
                </c:pt>
                <c:pt idx="486">
                  <c:v>-104.405810877929</c:v>
                </c:pt>
                <c:pt idx="487">
                  <c:v>-105.003830541633</c:v>
                </c:pt>
                <c:pt idx="488">
                  <c:v>-105.606015743473</c:v>
                </c:pt>
                <c:pt idx="489">
                  <c:v>-106.212454183149</c:v>
                </c:pt>
                <c:pt idx="490">
                  <c:v>-106.823224393364</c:v>
                </c:pt>
                <c:pt idx="491">
                  <c:v>-107.438395371029</c:v>
                </c:pt>
                <c:pt idx="492">
                  <c:v>-108.058026210505</c:v>
                </c:pt>
                <c:pt idx="493">
                  <c:v>-108.682165740958</c:v>
                </c:pt>
                <c:pt idx="494">
                  <c:v>-109.310852170129</c:v>
                </c:pt>
                <c:pt idx="495">
                  <c:v>-109.944112736928</c:v>
                </c:pt>
                <c:pt idx="496">
                  <c:v>-110.581963375458</c:v>
                </c:pt>
                <c:pt idx="497">
                  <c:v>-111.224408393179</c:v>
                </c:pt>
                <c:pt idx="498">
                  <c:v>-111.871440166078</c:v>
                </c:pt>
                <c:pt idx="499">
                  <c:v>-112.523038853806</c:v>
                </c:pt>
                <c:pt idx="500">
                  <c:v>-113.179172137824</c:v>
                </c:pt>
                <c:pt idx="501">
                  <c:v>-113.839794985688</c:v>
                </c:pt>
                <c:pt idx="502">
                  <c:v>-114.504849444614</c:v>
                </c:pt>
                <c:pt idx="503">
                  <c:v>-115.174264467478</c:v>
                </c:pt>
                <c:pt idx="504">
                  <c:v>-115.847955774393</c:v>
                </c:pt>
                <c:pt idx="505">
                  <c:v>-116.525825752906</c:v>
                </c:pt>
                <c:pt idx="506">
                  <c:v>-117.207763399792</c:v>
                </c:pt>
                <c:pt idx="507">
                  <c:v>-117.893644307252</c:v>
                </c:pt>
                <c:pt idx="508">
                  <c:v>-118.583330696138</c:v>
                </c:pt>
                <c:pt idx="509">
                  <c:v>-119.276671498608</c:v>
                </c:pt>
                <c:pt idx="510">
                  <c:v>-119.973502492331</c:v>
                </c:pt>
                <c:pt idx="511">
                  <c:v>-120.673646488034</c:v>
                </c:pt>
                <c:pt idx="512">
                  <c:v>-121.376913571857</c:v>
                </c:pt>
                <c:pt idx="513">
                  <c:v>-122.08310140355</c:v>
                </c:pt>
                <c:pt idx="514">
                  <c:v>-122.791995571124</c:v>
                </c:pt>
                <c:pt idx="515">
                  <c:v>-123.503370002116</c:v>
                </c:pt>
                <c:pt idx="516">
                  <c:v>-124.216987431121</c:v>
                </c:pt>
                <c:pt idx="517">
                  <c:v>-124.932599922735</c:v>
                </c:pt>
                <c:pt idx="518">
                  <c:v>-125.649949448532</c:v>
                </c:pt>
                <c:pt idx="519">
                  <c:v>-126.36876851616</c:v>
                </c:pt>
                <c:pt idx="520">
                  <c:v>-127.088780848116</c:v>
                </c:pt>
                <c:pt idx="521">
                  <c:v>-127.809702107231</c:v>
                </c:pt>
                <c:pt idx="522">
                  <c:v>-128.531240665395</c:v>
                </c:pt>
                <c:pt idx="523">
                  <c:v>-129.253098411568</c:v>
                </c:pt>
                <c:pt idx="524">
                  <c:v>-129.9749715947</c:v>
                </c:pt>
                <c:pt idx="525">
                  <c:v>-130.696551696751</c:v>
                </c:pt>
                <c:pt idx="526">
                  <c:v>-131.417526330667</c:v>
                </c:pt>
                <c:pt idx="527">
                  <c:v>-132.137580157879</c:v>
                </c:pt>
                <c:pt idx="528">
                  <c:v>-132.856395819646</c:v>
                </c:pt>
                <c:pt idx="529">
                  <c:v>-133.573654876388</c:v>
                </c:pt>
                <c:pt idx="530">
                  <c:v>-134.289038749078</c:v>
                </c:pt>
                <c:pt idx="531">
                  <c:v>-135.002229656713</c:v>
                </c:pt>
                <c:pt idx="532">
                  <c:v>-135.712911543938</c:v>
                </c:pt>
                <c:pt idx="533">
                  <c:v>-136.420770993014</c:v>
                </c:pt>
                <c:pt idx="534">
                  <c:v>-137.125498114481</c:v>
                </c:pt>
                <c:pt idx="535">
                  <c:v>-137.826787411161</c:v>
                </c:pt>
                <c:pt idx="536">
                  <c:v>-138.524338610398</c:v>
                </c:pt>
                <c:pt idx="537">
                  <c:v>-139.217857459841</c:v>
                </c:pt>
                <c:pt idx="538">
                  <c:v>-139.907056482464</c:v>
                </c:pt>
                <c:pt idx="539">
                  <c:v>-140.591655686978</c:v>
                </c:pt>
                <c:pt idx="540">
                  <c:v>-141.271383230262</c:v>
                </c:pt>
                <c:pt idx="541">
                  <c:v>-141.945976028975</c:v>
                </c:pt>
              </c:numCache>
            </c:numRef>
          </c:yVal>
          <c:smooth val="1"/>
        </c:ser>
        <c:dLbls>
          <c:showLegendKey val="0"/>
          <c:showVal val="0"/>
          <c:showCatName val="0"/>
          <c:showSerName val="0"/>
          <c:showPercent val="0"/>
          <c:showBubbleSize val="0"/>
        </c:dLbls>
        <c:axId val="175891584"/>
        <c:axId val="175889792"/>
      </c:scatterChart>
      <c:valAx>
        <c:axId val="17588569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7872"/>
        <c:crosses val="autoZero"/>
        <c:crossBetween val="midCat"/>
      </c:valAx>
      <c:valAx>
        <c:axId val="175887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5885696"/>
        <c:crosses val="autoZero"/>
        <c:crossBetween val="midCat"/>
        <c:majorUnit val="20"/>
        <c:minorUnit val="10"/>
      </c:valAx>
      <c:valAx>
        <c:axId val="175891584"/>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5889792"/>
        <c:crosses val="autoZero"/>
        <c:crossBetween val="midCat"/>
      </c:valAx>
      <c:valAx>
        <c:axId val="175889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5891584"/>
        <c:crosses val="max"/>
        <c:crossBetween val="midCat"/>
        <c:majorUnit val="90"/>
        <c:minorUnit val="45"/>
      </c:valAx>
    </c:plotArea>
    <c:plotVisOnly val="1"/>
    <c:dispBlanksAs val="gap"/>
    <c:showDLblsOverMax val="0"/>
    <c:extLst>
      <c:ext uri="{0b15fc19-7d7d-44ad-8c2d-2c3a37ce22c3}">
        <chartProps xmlns="https://web.wps.cn/et/2018/main" chartId="{eacd9145-f186-4656-9553-407a3899a6b8}"/>
      </c:ext>
    </c:extLst>
  </c:chart>
  <c:txPr>
    <a:bodyPr/>
    <a:lstStyle/>
    <a:p>
      <a:pPr>
        <a:defRPr lang="pl-PL"/>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a:t>DCM Plant Transfer</a:t>
            </a:r>
            <a:r>
              <a:rPr lang="en-US" baseline="0"/>
              <a:t> Function</a:t>
            </a:r>
            <a:endParaRPr lang="en-US"/>
          </a:p>
        </c:rich>
      </c:tx>
      <c:layout/>
      <c:overlay val="0"/>
    </c:title>
    <c:autoTitleDeleted val="0"/>
    <c:plotArea>
      <c:layout/>
      <c:scatterChart>
        <c:scatterStyle val="smooth"/>
        <c:varyColors val="0"/>
        <c:ser>
          <c:idx val="0"/>
          <c:order val="0"/>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Loop_Modeling!$AQ$19:$AQ$560</c:f>
              <c:numCache>
                <c:formatCode>General</c:formatCode>
                <c:ptCount val="542"/>
                <c:pt idx="0">
                  <c:v>47.9360901745328</c:v>
                </c:pt>
                <c:pt idx="1">
                  <c:v>47.9351618771675</c:v>
                </c:pt>
                <c:pt idx="2">
                  <c:v>47.934190043214</c:v>
                </c:pt>
                <c:pt idx="3">
                  <c:v>47.9331726412744</c:v>
                </c:pt>
                <c:pt idx="4">
                  <c:v>47.9321075461685</c:v>
                </c:pt>
                <c:pt idx="5">
                  <c:v>47.9309925347001</c:v>
                </c:pt>
                <c:pt idx="6">
                  <c:v>47.9298252812421</c:v>
                </c:pt>
                <c:pt idx="7">
                  <c:v>47.9286033531317</c:v>
                </c:pt>
                <c:pt idx="8">
                  <c:v>47.9273242058707</c:v>
                </c:pt>
                <c:pt idx="9">
                  <c:v>47.9259851781222</c:v>
                </c:pt>
                <c:pt idx="10">
                  <c:v>47.9245834864967</c:v>
                </c:pt>
                <c:pt idx="11">
                  <c:v>47.9231162201203</c:v>
                </c:pt>
                <c:pt idx="12">
                  <c:v>47.921580334977</c:v>
                </c:pt>
                <c:pt idx="13">
                  <c:v>47.9199726480169</c:v>
                </c:pt>
                <c:pt idx="14">
                  <c:v>47.9182898310231</c:v>
                </c:pt>
                <c:pt idx="15">
                  <c:v>47.9165284042292</c:v>
                </c:pt>
                <c:pt idx="16">
                  <c:v>47.9146847296782</c:v>
                </c:pt>
                <c:pt idx="17">
                  <c:v>47.9127550043157</c:v>
                </c:pt>
                <c:pt idx="18">
                  <c:v>47.9107352528091</c:v>
                </c:pt>
                <c:pt idx="19">
                  <c:v>47.9086213200836</c:v>
                </c:pt>
                <c:pt idx="20">
                  <c:v>47.9064088635682</c:v>
                </c:pt>
                <c:pt idx="21">
                  <c:v>47.9040933451425</c:v>
                </c:pt>
                <c:pt idx="22">
                  <c:v>47.9016700227765</c:v>
                </c:pt>
                <c:pt idx="23">
                  <c:v>47.899133941856</c:v>
                </c:pt>
                <c:pt idx="24">
                  <c:v>47.8964799261851</c:v>
                </c:pt>
                <c:pt idx="25">
                  <c:v>47.8937025686596</c:v>
                </c:pt>
                <c:pt idx="26">
                  <c:v>47.8907962216029</c:v>
                </c:pt>
                <c:pt idx="27">
                  <c:v>47.8877549867583</c:v>
                </c:pt>
                <c:pt idx="28">
                  <c:v>47.8845727049321</c:v>
                </c:pt>
                <c:pt idx="29">
                  <c:v>47.8812429452807</c:v>
                </c:pt>
                <c:pt idx="30">
                  <c:v>47.8777589942371</c:v>
                </c:pt>
                <c:pt idx="31">
                  <c:v>47.8741138440738</c:v>
                </c:pt>
                <c:pt idx="32">
                  <c:v>47.870300181096</c:v>
                </c:pt>
                <c:pt idx="33">
                  <c:v>47.8663103734652</c:v>
                </c:pt>
                <c:pt idx="34">
                  <c:v>47.8621364586511</c:v>
                </c:pt>
                <c:pt idx="35">
                  <c:v>47.857770130511</c:v>
                </c:pt>
                <c:pt idx="36">
                  <c:v>47.8532027259987</c:v>
                </c:pt>
                <c:pt idx="37">
                  <c:v>47.8484252115062</c:v>
                </c:pt>
                <c:pt idx="38">
                  <c:v>47.8434281688416</c:v>
                </c:pt>
                <c:pt idx="39">
                  <c:v>47.8382017808509</c:v>
                </c:pt>
                <c:pt idx="40">
                  <c:v>47.8327358166921</c:v>
                </c:pt>
                <c:pt idx="41">
                  <c:v>47.8270196167724</c:v>
                </c:pt>
                <c:pt idx="42">
                  <c:v>47.8210420773618</c:v>
                </c:pt>
                <c:pt idx="43">
                  <c:v>47.8147916349005</c:v>
                </c:pt>
                <c:pt idx="44">
                  <c:v>47.808256250019</c:v>
                </c:pt>
                <c:pt idx="45">
                  <c:v>47.8014233912934</c:v>
                </c:pt>
                <c:pt idx="46">
                  <c:v>47.7942800187632</c:v>
                </c:pt>
                <c:pt idx="47">
                  <c:v>47.786812567241</c:v>
                </c:pt>
                <c:pt idx="48">
                  <c:v>47.7790069294498</c:v>
                </c:pt>
                <c:pt idx="49">
                  <c:v>47.7708484390258</c:v>
                </c:pt>
                <c:pt idx="50">
                  <c:v>47.7623218534321</c:v>
                </c:pt>
                <c:pt idx="51">
                  <c:v>47.7534113368308</c:v>
                </c:pt>
                <c:pt idx="52">
                  <c:v>47.7441004429703</c:v>
                </c:pt>
                <c:pt idx="53">
                  <c:v>47.7343720981465</c:v>
                </c:pt>
                <c:pt idx="54">
                  <c:v>47.7242085843058</c:v>
                </c:pt>
                <c:pt idx="55">
                  <c:v>47.7135915223634</c:v>
                </c:pt>
                <c:pt idx="56">
                  <c:v>47.702501855816</c:v>
                </c:pt>
                <c:pt idx="57">
                  <c:v>47.6909198347387</c:v>
                </c:pt>
                <c:pt idx="58">
                  <c:v>47.6788250002575</c:v>
                </c:pt>
                <c:pt idx="59">
                  <c:v>47.6661961696043</c:v>
                </c:pt>
                <c:pt idx="60">
                  <c:v>47.6530114218618</c:v>
                </c:pt>
                <c:pt idx="61">
                  <c:v>47.6392480845182</c:v>
                </c:pt>
                <c:pt idx="62">
                  <c:v>47.6248827209607</c:v>
                </c:pt>
                <c:pt idx="63">
                  <c:v>47.6098911190398</c:v>
                </c:pt>
                <c:pt idx="64">
                  <c:v>47.5942482808524</c:v>
                </c:pt>
                <c:pt idx="65">
                  <c:v>47.5779284138934</c:v>
                </c:pt>
                <c:pt idx="66">
                  <c:v>47.5609049237384</c:v>
                </c:pt>
                <c:pt idx="67">
                  <c:v>47.5431504084246</c:v>
                </c:pt>
                <c:pt idx="68">
                  <c:v>47.5246366547073</c:v>
                </c:pt>
                <c:pt idx="69">
                  <c:v>47.5053346363757</c:v>
                </c:pt>
                <c:pt idx="70">
                  <c:v>47.4852145148165</c:v>
                </c:pt>
                <c:pt idx="71">
                  <c:v>47.4642456420232</c:v>
                </c:pt>
                <c:pt idx="72">
                  <c:v>47.4423965662484</c:v>
                </c:pt>
                <c:pt idx="73">
                  <c:v>47.4196350405065</c:v>
                </c:pt>
                <c:pt idx="74">
                  <c:v>47.3959280341303</c:v>
                </c:pt>
                <c:pt idx="75">
                  <c:v>47.3712417475896</c:v>
                </c:pt>
                <c:pt idx="76">
                  <c:v>47.3455416307779</c:v>
                </c:pt>
                <c:pt idx="77">
                  <c:v>47.31879240497</c:v>
                </c:pt>
                <c:pt idx="78">
                  <c:v>47.2909580886481</c:v>
                </c:pt>
                <c:pt idx="79">
                  <c:v>47.2620020273871</c:v>
                </c:pt>
                <c:pt idx="80">
                  <c:v>47.2318869279798</c:v>
                </c:pt>
                <c:pt idx="81">
                  <c:v>47.2005748969692</c:v>
                </c:pt>
                <c:pt idx="82">
                  <c:v>47.1680274837395</c:v>
                </c:pt>
                <c:pt idx="83">
                  <c:v>47.1342057282992</c:v>
                </c:pt>
                <c:pt idx="84">
                  <c:v>47.0990702138663</c:v>
                </c:pt>
                <c:pt idx="85">
                  <c:v>47.0625811243416</c:v>
                </c:pt>
                <c:pt idx="86">
                  <c:v>47.0246983067252</c:v>
                </c:pt>
                <c:pt idx="87">
                  <c:v>46.9853813385012</c:v>
                </c:pt>
                <c:pt idx="88">
                  <c:v>46.9445895999781</c:v>
                </c:pt>
                <c:pt idx="89">
                  <c:v>46.9022823515337</c:v>
                </c:pt>
                <c:pt idx="90">
                  <c:v>46.8584188156717</c:v>
                </c:pt>
                <c:pt idx="91">
                  <c:v>46.812958263752</c:v>
                </c:pt>
                <c:pt idx="92">
                  <c:v>46.7658601072087</c:v>
                </c:pt>
                <c:pt idx="93">
                  <c:v>46.7170839930202</c:v>
                </c:pt>
                <c:pt idx="94">
                  <c:v>46.6665899031445</c:v>
                </c:pt>
                <c:pt idx="95">
                  <c:v>46.6143382575803</c:v>
                </c:pt>
                <c:pt idx="96">
                  <c:v>46.5602900206615</c:v>
                </c:pt>
                <c:pt idx="97">
                  <c:v>46.504406810139</c:v>
                </c:pt>
                <c:pt idx="98">
                  <c:v>46.4466510085536</c:v>
                </c:pt>
                <c:pt idx="99">
                  <c:v>46.3869858763516</c:v>
                </c:pt>
                <c:pt idx="100">
                  <c:v>46.3253756661501</c:v>
                </c:pt>
                <c:pt idx="101">
                  <c:v>46.2617857375115</c:v>
                </c:pt>
                <c:pt idx="102">
                  <c:v>46.1961826715526</c:v>
                </c:pt>
                <c:pt idx="103">
                  <c:v>46.1285343846743</c:v>
                </c:pt>
                <c:pt idx="104">
                  <c:v>46.0588102406754</c:v>
                </c:pt>
                <c:pt idx="105">
                  <c:v>45.9869811604886</c:v>
                </c:pt>
                <c:pt idx="106">
                  <c:v>45.9130197287703</c:v>
                </c:pt>
                <c:pt idx="107">
                  <c:v>45.8369002965647</c:v>
                </c:pt>
                <c:pt idx="108">
                  <c:v>45.7585990792729</c:v>
                </c:pt>
                <c:pt idx="109">
                  <c:v>45.678094249169</c:v>
                </c:pt>
                <c:pt idx="110">
                  <c:v>45.5953660217299</c:v>
                </c:pt>
                <c:pt idx="111">
                  <c:v>45.5103967350786</c:v>
                </c:pt>
                <c:pt idx="112">
                  <c:v>45.423170921883</c:v>
                </c:pt>
                <c:pt idx="113">
                  <c:v>45.3336753731045</c:v>
                </c:pt>
                <c:pt idx="114">
                  <c:v>45.2418991930522</c:v>
                </c:pt>
                <c:pt idx="115">
                  <c:v>45.1478338452629</c:v>
                </c:pt>
                <c:pt idx="116">
                  <c:v>45.0514731888104</c:v>
                </c:pt>
                <c:pt idx="117">
                  <c:v>44.9528135047176</c:v>
                </c:pt>
                <c:pt idx="118">
                  <c:v>44.8518535122438</c:v>
                </c:pt>
                <c:pt idx="119">
                  <c:v>44.7485943748985</c:v>
                </c:pt>
                <c:pt idx="120">
                  <c:v>44.6430396961329</c:v>
                </c:pt>
                <c:pt idx="121">
                  <c:v>44.5351955047482</c:v>
                </c:pt>
                <c:pt idx="122">
                  <c:v>44.4250702301561</c:v>
                </c:pt>
                <c:pt idx="123">
                  <c:v>44.3126746677112</c:v>
                </c:pt>
                <c:pt idx="124">
                  <c:v>44.1980219344309</c:v>
                </c:pt>
                <c:pt idx="125">
                  <c:v>44.0811274154902</c:v>
                </c:pt>
                <c:pt idx="126">
                  <c:v>43.9620087019629</c:v>
                </c:pt>
                <c:pt idx="127">
                  <c:v>43.8406855203473</c:v>
                </c:pt>
                <c:pt idx="128">
                  <c:v>43.7171796544729</c:v>
                </c:pt>
                <c:pt idx="129">
                  <c:v>43.5915148604453</c:v>
                </c:pt>
                <c:pt idx="130">
                  <c:v>43.4637167753208</c:v>
                </c:pt>
                <c:pt idx="131">
                  <c:v>43.3338128202455</c:v>
                </c:pt>
                <c:pt idx="132">
                  <c:v>43.2018320988119</c:v>
                </c:pt>
                <c:pt idx="133">
                  <c:v>43.067805291405</c:v>
                </c:pt>
                <c:pt idx="134">
                  <c:v>42.9317645463161</c:v>
                </c:pt>
                <c:pt idx="135">
                  <c:v>42.7937433683954</c:v>
                </c:pt>
                <c:pt idx="136">
                  <c:v>42.6537765060097</c:v>
                </c:pt>
                <c:pt idx="137">
                  <c:v>42.5118998370436</c:v>
                </c:pt>
                <c:pt idx="138">
                  <c:v>42.3681502546642</c:v>
                </c:pt>
                <c:pt idx="139">
                  <c:v>42.2225655535308</c:v>
                </c:pt>
                <c:pt idx="140">
                  <c:v>42.0751843170937</c:v>
                </c:pt>
                <c:pt idx="141">
                  <c:v>41.9260458065851</c:v>
                </c:pt>
                <c:pt idx="142">
                  <c:v>41.7751898522561</c:v>
                </c:pt>
                <c:pt idx="143">
                  <c:v>41.6226567473635</c:v>
                </c:pt>
                <c:pt idx="144">
                  <c:v>41.4684871453623</c:v>
                </c:pt>
                <c:pt idx="145">
                  <c:v>41.3127219607022</c:v>
                </c:pt>
                <c:pt idx="146">
                  <c:v>41.1554022735773</c:v>
                </c:pt>
                <c:pt idx="147">
                  <c:v>40.9965692389229</c:v>
                </c:pt>
                <c:pt idx="148">
                  <c:v>40.8362639999044</c:v>
                </c:pt>
                <c:pt idx="149">
                  <c:v>40.6745276060897</c:v>
                </c:pt>
                <c:pt idx="150">
                  <c:v>40.5114009364528</c:v>
                </c:pt>
                <c:pt idx="151">
                  <c:v>40.3469246273085</c:v>
                </c:pt>
                <c:pt idx="152">
                  <c:v>40.1811390052349</c:v>
                </c:pt>
                <c:pt idx="153">
                  <c:v>40.0140840250048</c:v>
                </c:pt>
                <c:pt idx="154">
                  <c:v>39.8457992125047</c:v>
                </c:pt>
                <c:pt idx="155">
                  <c:v>39.676323612596</c:v>
                </c:pt>
                <c:pt idx="156">
                  <c:v>39.5056957418335</c:v>
                </c:pt>
                <c:pt idx="157">
                  <c:v>39.3339535459408</c:v>
                </c:pt>
                <c:pt idx="158">
                  <c:v>39.1611343619105</c:v>
                </c:pt>
                <c:pt idx="159">
                  <c:v>38.9872748845848</c:v>
                </c:pt>
                <c:pt idx="160">
                  <c:v>38.8124111375521</c:v>
                </c:pt>
                <c:pt idx="161">
                  <c:v>38.6365784481834</c:v>
                </c:pt>
                <c:pt idx="162">
                  <c:v>38.4598114266217</c:v>
                </c:pt>
                <c:pt idx="163">
                  <c:v>38.2821439485308</c:v>
                </c:pt>
                <c:pt idx="164">
                  <c:v>38.1036091414031</c:v>
                </c:pt>
                <c:pt idx="165">
                  <c:v>37.924239374224</c:v>
                </c:pt>
                <c:pt idx="166">
                  <c:v>37.7440662502892</c:v>
                </c:pt>
                <c:pt idx="167">
                  <c:v>37.563120602972</c:v>
                </c:pt>
                <c:pt idx="168">
                  <c:v>37.3814324942391</c:v>
                </c:pt>
                <c:pt idx="169">
                  <c:v>37.1990312157177</c:v>
                </c:pt>
                <c:pt idx="170">
                  <c:v>37.015945292122</c:v>
                </c:pt>
                <c:pt idx="171">
                  <c:v>36.8322024868511</c:v>
                </c:pt>
                <c:pt idx="172">
                  <c:v>36.6478298095789</c:v>
                </c:pt>
                <c:pt idx="173">
                  <c:v>36.4628535256622</c:v>
                </c:pt>
                <c:pt idx="174">
                  <c:v>36.2772991672014</c:v>
                </c:pt>
                <c:pt idx="175">
                  <c:v>36.0911915455979</c:v>
                </c:pt>
                <c:pt idx="176">
                  <c:v>35.9045547654573</c:v>
                </c:pt>
                <c:pt idx="177">
                  <c:v>35.7174122396987</c:v>
                </c:pt>
                <c:pt idx="178">
                  <c:v>35.5297867057397</c:v>
                </c:pt>
                <c:pt idx="179">
                  <c:v>35.3417002426309</c:v>
                </c:pt>
                <c:pt idx="180">
                  <c:v>35.1531742890287</c:v>
                </c:pt>
                <c:pt idx="181">
                  <c:v>34.9642296618967</c:v>
                </c:pt>
                <c:pt idx="182">
                  <c:v>34.774886575841</c:v>
                </c:pt>
                <c:pt idx="183">
                  <c:v>34.585164662986</c:v>
                </c:pt>
                <c:pt idx="184">
                  <c:v>34.3950829933113</c:v>
                </c:pt>
                <c:pt idx="185">
                  <c:v>34.2046600953723</c:v>
                </c:pt>
                <c:pt idx="186">
                  <c:v>34.0139139773377</c:v>
                </c:pt>
                <c:pt idx="187">
                  <c:v>33.822862148284</c:v>
                </c:pt>
                <c:pt idx="188">
                  <c:v>33.6315216396893</c:v>
                </c:pt>
                <c:pt idx="189">
                  <c:v>33.4399090270813</c:v>
                </c:pt>
                <c:pt idx="190">
                  <c:v>33.248040451794</c:v>
                </c:pt>
                <c:pt idx="191">
                  <c:v>33.0559316427977</c:v>
                </c:pt>
                <c:pt idx="192">
                  <c:v>32.8635979385686</c:v>
                </c:pt>
                <c:pt idx="193">
                  <c:v>32.6710543089716</c:v>
                </c:pt>
                <c:pt idx="194">
                  <c:v>32.4783153771322</c:v>
                </c:pt>
                <c:pt idx="195">
                  <c:v>32.2853954412793</c:v>
                </c:pt>
                <c:pt idx="196">
                  <c:v>32.0923084965433</c:v>
                </c:pt>
                <c:pt idx="197">
                  <c:v>31.8990682566976</c:v>
                </c:pt>
                <c:pt idx="198">
                  <c:v>31.7056881758354</c:v>
                </c:pt>
                <c:pt idx="199">
                  <c:v>31.5121814699755</c:v>
                </c:pt>
                <c:pt idx="200">
                  <c:v>31.3185611385958</c:v>
                </c:pt>
                <c:pt idx="201">
                  <c:v>31.1248399860907</c:v>
                </c:pt>
                <c:pt idx="202">
                  <c:v>30.9310306431585</c:v>
                </c:pt>
                <c:pt idx="203">
                  <c:v>30.7371455881179</c:v>
                </c:pt>
                <c:pt idx="204">
                  <c:v>30.5431971681619</c:v>
                </c:pt>
                <c:pt idx="205">
                  <c:v>30.3491976205536</c:v>
                </c:pt>
                <c:pt idx="206">
                  <c:v>30.1551590937746</c:v>
                </c:pt>
                <c:pt idx="207">
                  <c:v>29.9610936686317</c:v>
                </c:pt>
                <c:pt idx="208">
                  <c:v>29.7670133793335</c:v>
                </c:pt>
                <c:pt idx="209">
                  <c:v>29.572930234548</c:v>
                </c:pt>
                <c:pt idx="210">
                  <c:v>29.3788562384506</c:v>
                </c:pt>
                <c:pt idx="211">
                  <c:v>29.1848034117744</c:v>
                </c:pt>
                <c:pt idx="212">
                  <c:v>28.9907838128745</c:v>
                </c:pt>
                <c:pt idx="213">
                  <c:v>28.7968095588163</c:v>
                </c:pt>
                <c:pt idx="214">
                  <c:v>28.6028928465011</c:v>
                </c:pt>
                <c:pt idx="215">
                  <c:v>28.4090459738347</c:v>
                </c:pt>
                <c:pt idx="216">
                  <c:v>28.2152813609556</c:v>
                </c:pt>
                <c:pt idx="217">
                  <c:v>28.0216115715244</c:v>
                </c:pt>
                <c:pt idx="218">
                  <c:v>27.8280493340873</c:v>
                </c:pt>
                <c:pt idx="219">
                  <c:v>27.634607563518</c:v>
                </c:pt>
                <c:pt idx="220">
                  <c:v>27.4412993825438</c:v>
                </c:pt>
                <c:pt idx="221">
                  <c:v>27.2481381433567</c:v>
                </c:pt>
                <c:pt idx="222">
                  <c:v>27.0551374493163</c:v>
                </c:pt>
                <c:pt idx="223">
                  <c:v>26.862311176736</c:v>
                </c:pt>
                <c:pt idx="224">
                  <c:v>26.6696734967566</c:v>
                </c:pt>
                <c:pt idx="225">
                  <c:v>26.4772388972954</c:v>
                </c:pt>
                <c:pt idx="226">
                  <c:v>26.2850222050658</c:v>
                </c:pt>
                <c:pt idx="227">
                  <c:v>26.0930386076525</c:v>
                </c:pt>
                <c:pt idx="228">
                  <c:v>25.901303675628</c:v>
                </c:pt>
                <c:pt idx="229">
                  <c:v>25.70983338469</c:v>
                </c:pt>
                <c:pt idx="230">
                  <c:v>25.5186441377959</c:v>
                </c:pt>
                <c:pt idx="231">
                  <c:v>25.3277527872667</c:v>
                </c:pt>
                <c:pt idx="232">
                  <c:v>25.1371766568269</c:v>
                </c:pt>
                <c:pt idx="233">
                  <c:v>24.9469335635409</c:v>
                </c:pt>
                <c:pt idx="234">
                  <c:v>24.757041839605</c:v>
                </c:pt>
                <c:pt idx="235">
                  <c:v>24.5675203539421</c:v>
                </c:pt>
                <c:pt idx="236">
                  <c:v>24.3783885335465</c:v>
                </c:pt>
                <c:pt idx="237">
                  <c:v>24.1896663845142</c:v>
                </c:pt>
                <c:pt idx="238">
                  <c:v>24.0013745126915</c:v>
                </c:pt>
                <c:pt idx="239">
                  <c:v>23.8135341438633</c:v>
                </c:pt>
                <c:pt idx="240">
                  <c:v>23.626167143401</c:v>
                </c:pt>
                <c:pt idx="241">
                  <c:v>23.4392960352754</c:v>
                </c:pt>
                <c:pt idx="242">
                  <c:v>23.2529440203362</c:v>
                </c:pt>
                <c:pt idx="243">
                  <c:v>23.0671349937515</c:v>
                </c:pt>
                <c:pt idx="244">
                  <c:v>22.8818935614906</c:v>
                </c:pt>
                <c:pt idx="245">
                  <c:v>22.6972450557242</c:v>
                </c:pt>
                <c:pt idx="246">
                  <c:v>22.5132155490124</c:v>
                </c:pt>
                <c:pt idx="247">
                  <c:v>22.3298318671351</c:v>
                </c:pt>
                <c:pt idx="248">
                  <c:v>22.1471216004176</c:v>
                </c:pt>
                <c:pt idx="249">
                  <c:v>21.9651131133923</c:v>
                </c:pt>
                <c:pt idx="250">
                  <c:v>21.7838355526289</c:v>
                </c:pt>
                <c:pt idx="251">
                  <c:v>21.6033188525624</c:v>
                </c:pt>
                <c:pt idx="252">
                  <c:v>21.4235937391348</c:v>
                </c:pt>
                <c:pt idx="253">
                  <c:v>21.2446917310675</c:v>
                </c:pt>
                <c:pt idx="254">
                  <c:v>21.0666451385675</c:v>
                </c:pt>
                <c:pt idx="255">
                  <c:v>20.8894870592759</c:v>
                </c:pt>
                <c:pt idx="256">
                  <c:v>20.7132513712542</c:v>
                </c:pt>
                <c:pt idx="257">
                  <c:v>20.5379727228114</c:v>
                </c:pt>
                <c:pt idx="258">
                  <c:v>20.3636865189668</c:v>
                </c:pt>
                <c:pt idx="259">
                  <c:v>20.1904289043511</c:v>
                </c:pt>
                <c:pt idx="260">
                  <c:v>20.0182367423493</c:v>
                </c:pt>
                <c:pt idx="261">
                  <c:v>19.8471475902949</c:v>
                </c:pt>
                <c:pt idx="262">
                  <c:v>19.6771996705352</c:v>
                </c:pt>
                <c:pt idx="263">
                  <c:v>19.5084318371971</c:v>
                </c:pt>
                <c:pt idx="264">
                  <c:v>19.3408835384967</c:v>
                </c:pt>
                <c:pt idx="265">
                  <c:v>19.174594774455</c:v>
                </c:pt>
                <c:pt idx="266">
                  <c:v>19.0096060499</c:v>
                </c:pt>
                <c:pt idx="267">
                  <c:v>18.8459583226608</c:v>
                </c:pt>
                <c:pt idx="268">
                  <c:v>18.6836929468852</c:v>
                </c:pt>
                <c:pt idx="269">
                  <c:v>18.5228516114434</c:v>
                </c:pt>
                <c:pt idx="270">
                  <c:v>18.3634762734137</c:v>
                </c:pt>
                <c:pt idx="271">
                  <c:v>18.2056090866837</c:v>
                </c:pt>
                <c:pt idx="272">
                  <c:v>18.0492923257417</c:v>
                </c:pt>
                <c:pt idx="273">
                  <c:v>17.894568304774</c:v>
                </c:pt>
                <c:pt idx="274">
                  <c:v>17.7414792922331</c:v>
                </c:pt>
                <c:pt idx="275">
                  <c:v>17.5900674210881</c:v>
                </c:pt>
                <c:pt idx="276">
                  <c:v>17.4403745950212</c:v>
                </c:pt>
                <c:pt idx="277">
                  <c:v>17.2924423908837</c:v>
                </c:pt>
                <c:pt idx="278">
                  <c:v>17.1463119577808</c:v>
                </c:pt>
                <c:pt idx="279">
                  <c:v>17.0020239132056</c:v>
                </c:pt>
                <c:pt idx="280">
                  <c:v>16.8596182366962</c:v>
                </c:pt>
                <c:pt idx="281">
                  <c:v>16.7191341615406</c:v>
                </c:pt>
                <c:pt idx="282">
                  <c:v>16.5806100651041</c:v>
                </c:pt>
                <c:pt idx="283">
                  <c:v>16.444083358399</c:v>
                </c:pt>
                <c:pt idx="284">
                  <c:v>16.3095903755588</c:v>
                </c:pt>
                <c:pt idx="285">
                  <c:v>16.177166263917</c:v>
                </c:pt>
                <c:pt idx="286">
                  <c:v>16.0468448754211</c:v>
                </c:pt>
                <c:pt idx="287">
                  <c:v>15.9186586601372</c:v>
                </c:pt>
                <c:pt idx="288">
                  <c:v>15.7926385626199</c:v>
                </c:pt>
                <c:pt idx="289">
                  <c:v>15.6688139219278</c:v>
                </c:pt>
                <c:pt idx="290">
                  <c:v>15.547212376071</c:v>
                </c:pt>
                <c:pt idx="291">
                  <c:v>15.4278597716621</c:v>
                </c:pt>
                <c:pt idx="292">
                  <c:v>15.3107800795305</c:v>
                </c:pt>
                <c:pt idx="293">
                  <c:v>15.1959953170274</c:v>
                </c:pt>
                <c:pt idx="294">
                  <c:v>15.0835254777149</c:v>
                </c:pt>
                <c:pt idx="295">
                  <c:v>14.9733884690847</c:v>
                </c:pt>
                <c:pt idx="296">
                  <c:v>14.8656000588966</c:v>
                </c:pt>
                <c:pt idx="297">
                  <c:v>14.7601738306645</c:v>
                </c:pt>
                <c:pt idx="298">
                  <c:v>14.6571211487437</c:v>
                </c:pt>
                <c:pt idx="299">
                  <c:v>14.5564511333984</c:v>
                </c:pt>
                <c:pt idx="300">
                  <c:v>14.4581706461427</c:v>
                </c:pt>
                <c:pt idx="301">
                  <c:v>14.3622842855601</c:v>
                </c:pt>
                <c:pt idx="302">
                  <c:v>14.2687943937182</c:v>
                </c:pt>
                <c:pt idx="303">
                  <c:v>14.1777010731991</c:v>
                </c:pt>
                <c:pt idx="304">
                  <c:v>14.0890022146759</c:v>
                </c:pt>
                <c:pt idx="305">
                  <c:v>14.0026935348725</c:v>
                </c:pt>
                <c:pt idx="306">
                  <c:v>13.9187686246557</c:v>
                </c:pt>
                <c:pt idx="307">
                  <c:v>13.8372190069221</c:v>
                </c:pt>
                <c:pt idx="308">
                  <c:v>13.7580342038634</c:v>
                </c:pt>
                <c:pt idx="309">
                  <c:v>13.6812018131191</c:v>
                </c:pt>
                <c:pt idx="310">
                  <c:v>13.6067075922592</c:v>
                </c:pt>
                <c:pt idx="311">
                  <c:v>13.5345355509816</c:v>
                </c:pt>
                <c:pt idx="312">
                  <c:v>13.4646680503567</c:v>
                </c:pt>
                <c:pt idx="313">
                  <c:v>13.3970859084149</c:v>
                </c:pt>
                <c:pt idx="314">
                  <c:v>13.3317685113366</c:v>
                </c:pt>
                <c:pt idx="315">
                  <c:v>13.2686939294873</c:v>
                </c:pt>
                <c:pt idx="316">
                  <c:v>13.2078390375235</c:v>
                </c:pt>
                <c:pt idx="317">
                  <c:v>13.1491796377953</c:v>
                </c:pt>
                <c:pt idx="318">
                  <c:v>13.092690586274</c:v>
                </c:pt>
                <c:pt idx="319">
                  <c:v>13.0383459202495</c:v>
                </c:pt>
                <c:pt idx="320">
                  <c:v>12.9861189870598</c:v>
                </c:pt>
                <c:pt idx="321">
                  <c:v>12.9359825731451</c:v>
                </c:pt>
                <c:pt idx="322">
                  <c:v>12.8879090327513</c:v>
                </c:pt>
                <c:pt idx="323">
                  <c:v>12.8418704156449</c:v>
                </c:pt>
                <c:pt idx="324">
                  <c:v>12.7978385932472</c:v>
                </c:pt>
                <c:pt idx="325">
                  <c:v>12.7557853826352</c:v>
                </c:pt>
                <c:pt idx="326">
                  <c:v>12.7156826679109</c:v>
                </c:pt>
                <c:pt idx="327">
                  <c:v>12.6775025184837</c:v>
                </c:pt>
                <c:pt idx="328">
                  <c:v>12.6412173038642</c:v>
                </c:pt>
                <c:pt idx="329">
                  <c:v>12.6067998046138</c:v>
                </c:pt>
                <c:pt idx="330">
                  <c:v>12.5742233191449</c:v>
                </c:pt>
                <c:pt idx="331">
                  <c:v>12.5434617661117</c:v>
                </c:pt>
                <c:pt idx="332">
                  <c:v>12.5144897821758</c:v>
                </c:pt>
                <c:pt idx="333">
                  <c:v>12.487282814973</c:v>
                </c:pt>
                <c:pt idx="334">
                  <c:v>12.4618172111473</c:v>
                </c:pt>
                <c:pt idx="335">
                  <c:v>12.438070299351</c:v>
                </c:pt>
                <c:pt idx="336">
                  <c:v>12.4160204681448</c:v>
                </c:pt>
                <c:pt idx="337">
                  <c:v>12.3956472387572</c:v>
                </c:pt>
                <c:pt idx="338">
                  <c:v>12.3769313326895</c:v>
                </c:pt>
                <c:pt idx="339">
                  <c:v>12.3598547341716</c:v>
                </c:pt>
                <c:pt idx="340">
                  <c:v>12.3444007474919</c:v>
                </c:pt>
                <c:pt idx="341">
                  <c:v>12.330554049238</c:v>
                </c:pt>
                <c:pt idx="342">
                  <c:v>12.3183007354937</c:v>
                </c:pt>
                <c:pt idx="343">
                  <c:v>12.3076283640475</c:v>
                </c:pt>
                <c:pt idx="344">
                  <c:v>12.2985259916666</c:v>
                </c:pt>
                <c:pt idx="345">
                  <c:v>12.2909842064984</c:v>
                </c:pt>
                <c:pt idx="346">
                  <c:v>12.2849951556503</c:v>
                </c:pt>
                <c:pt idx="347">
                  <c:v>12.2805525680049</c:v>
                </c:pt>
                <c:pt idx="348">
                  <c:v>12.2776517723144</c:v>
                </c:pt>
                <c:pt idx="349">
                  <c:v>12.2762897106122</c:v>
                </c:pt>
                <c:pt idx="350">
                  <c:v>12.2764649469745</c:v>
                </c:pt>
                <c:pt idx="351">
                  <c:v>12.278177671649</c:v>
                </c:pt>
                <c:pt idx="352">
                  <c:v>12.281429700562</c:v>
                </c:pt>
                <c:pt idx="353">
                  <c:v>12.2862244702024</c:v>
                </c:pt>
                <c:pt idx="354">
                  <c:v>12.2925670278705</c:v>
                </c:pt>
                <c:pt idx="355">
                  <c:v>12.3004640172696</c:v>
                </c:pt>
                <c:pt idx="356">
                  <c:v>12.309923659408</c:v>
                </c:pt>
                <c:pt idx="357">
                  <c:v>12.320955728772</c:v>
                </c:pt>
                <c:pt idx="358">
                  <c:v>12.3335715247208</c:v>
                </c:pt>
                <c:pt idx="359">
                  <c:v>12.3477838380517</c:v>
                </c:pt>
                <c:pt idx="360">
                  <c:v>12.3636069126772</c:v>
                </c:pt>
                <c:pt idx="361">
                  <c:v>12.3810564023586</c:v>
                </c:pt>
                <c:pt idx="362">
                  <c:v>12.4001493224371</c:v>
                </c:pt>
                <c:pt idx="363">
                  <c:v>12.4209039965131</c:v>
                </c:pt>
                <c:pt idx="364">
                  <c:v>12.4433399980272</c:v>
                </c:pt>
                <c:pt idx="365">
                  <c:v>12.46747808671</c:v>
                </c:pt>
                <c:pt idx="366">
                  <c:v>12.4933401398821</c:v>
                </c:pt>
                <c:pt idx="367">
                  <c:v>12.5209490786008</c:v>
                </c:pt>
                <c:pt idx="368">
                  <c:v>12.5503287886754</c:v>
                </c:pt>
                <c:pt idx="369">
                  <c:v>12.581504036596</c:v>
                </c:pt>
                <c:pt idx="370">
                  <c:v>12.6145003804493</c:v>
                </c:pt>
                <c:pt idx="371">
                  <c:v>12.6493440759302</c:v>
                </c:pt>
                <c:pt idx="372">
                  <c:v>12.6860619775916</c:v>
                </c:pt>
                <c:pt idx="373">
                  <c:v>12.7246814355155</c:v>
                </c:pt>
                <c:pt idx="374">
                  <c:v>12.7652301876303</c:v>
                </c:pt>
                <c:pt idx="375">
                  <c:v>12.8077362479454</c:v>
                </c:pt>
                <c:pt idx="376">
                  <c:v>12.8522277910176</c:v>
                </c:pt>
                <c:pt idx="377">
                  <c:v>12.8987330330181</c:v>
                </c:pt>
                <c:pt idx="378">
                  <c:v>12.947280109811</c:v>
                </c:pt>
                <c:pt idx="379">
                  <c:v>12.9978969525098</c:v>
                </c:pt>
                <c:pt idx="380">
                  <c:v>13.0506111610232</c:v>
                </c:pt>
                <c:pt idx="381">
                  <c:v>13.10544987615</c:v>
                </c:pt>
                <c:pt idx="382">
                  <c:v>13.1624396508275</c:v>
                </c:pt>
                <c:pt idx="383">
                  <c:v>13.2216063211801</c:v>
                </c:pt>
                <c:pt idx="384">
                  <c:v>13.2829748780498</c:v>
                </c:pt>
                <c:pt idx="385">
                  <c:v>13.3465693397257</c:v>
                </c:pt>
                <c:pt idx="386">
                  <c:v>13.4124126266126</c:v>
                </c:pt>
                <c:pt idx="387">
                  <c:v>13.4805264386004</c:v>
                </c:pt>
                <c:pt idx="388">
                  <c:v>13.5509311359056</c:v>
                </c:pt>
                <c:pt idx="389">
                  <c:v>13.6236456241624</c:v>
                </c:pt>
                <c:pt idx="390">
                  <c:v>13.6986872445323</c:v>
                </c:pt>
                <c:pt idx="391">
                  <c:v>13.7760716695892</c:v>
                </c:pt>
                <c:pt idx="392">
                  <c:v>13.855812805712</c:v>
                </c:pt>
                <c:pt idx="393">
                  <c:v>13.9379227026827</c:v>
                </c:pt>
                <c:pt idx="394">
                  <c:v>14.0224114711467</c:v>
                </c:pt>
                <c:pt idx="395">
                  <c:v>14.1092872085382</c:v>
                </c:pt>
                <c:pt idx="396">
                  <c:v>14.1985559340159</c:v>
                </c:pt>
                <c:pt idx="397">
                  <c:v>14.2902215328821</c:v>
                </c:pt>
                <c:pt idx="398">
                  <c:v>14.3842857108877</c:v>
                </c:pt>
                <c:pt idx="399">
                  <c:v>14.480747958739</c:v>
                </c:pt>
                <c:pt idx="400">
                  <c:v>14.5796055270416</c:v>
                </c:pt>
                <c:pt idx="401">
                  <c:v>14.6808534118205</c:v>
                </c:pt>
                <c:pt idx="402">
                  <c:v>14.784484350671</c:v>
                </c:pt>
                <c:pt idx="403">
                  <c:v>14.8904888294936</c:v>
                </c:pt>
                <c:pt idx="404">
                  <c:v>14.9988550996812</c:v>
                </c:pt>
                <c:pt idx="405">
                  <c:v>15.1095692055329</c:v>
                </c:pt>
                <c:pt idx="406">
                  <c:v>15.2226150215797</c:v>
                </c:pt>
                <c:pt idx="407">
                  <c:v>15.3379742994303</c:v>
                </c:pt>
                <c:pt idx="408">
                  <c:v>15.4556267236654</c:v>
                </c:pt>
                <c:pt idx="409">
                  <c:v>15.5755499762361</c:v>
                </c:pt>
                <c:pt idx="410">
                  <c:v>15.6977198087685</c:v>
                </c:pt>
                <c:pt idx="411">
                  <c:v>15.8221101221149</c:v>
                </c:pt>
                <c:pt idx="412">
                  <c:v>15.9486930524505</c:v>
                </c:pt>
                <c:pt idx="413">
                  <c:v>16.0774390631832</c:v>
                </c:pt>
                <c:pt idx="414">
                  <c:v>16.2083170419111</c:v>
                </c:pt>
                <c:pt idx="415">
                  <c:v>16.3412944016547</c:v>
                </c:pt>
                <c:pt idx="416">
                  <c:v>16.4763371855789</c:v>
                </c:pt>
                <c:pt idx="417">
                  <c:v>16.6134101744236</c:v>
                </c:pt>
                <c:pt idx="418">
                  <c:v>16.7524769958755</c:v>
                </c:pt>
                <c:pt idx="419">
                  <c:v>16.8935002351299</c:v>
                </c:pt>
                <c:pt idx="420">
                  <c:v>17.0364415459187</c:v>
                </c:pt>
                <c:pt idx="421">
                  <c:v>17.1812617613145</c:v>
                </c:pt>
                <c:pt idx="422">
                  <c:v>17.327921003659</c:v>
                </c:pt>
                <c:pt idx="423">
                  <c:v>17.4763787930032</c:v>
                </c:pt>
                <c:pt idx="424">
                  <c:v>17.6265941535027</c:v>
                </c:pt>
                <c:pt idx="425">
                  <c:v>17.77852571725</c:v>
                </c:pt>
                <c:pt idx="426">
                  <c:v>17.9321318250853</c:v>
                </c:pt>
                <c:pt idx="427">
                  <c:v>18.0873706239789</c:v>
                </c:pt>
                <c:pt idx="428">
                  <c:v>18.2442001606276</c:v>
                </c:pt>
                <c:pt idx="429">
                  <c:v>18.402578470966</c:v>
                </c:pt>
                <c:pt idx="430">
                  <c:v>18.5624636653403</c:v>
                </c:pt>
                <c:pt idx="431">
                  <c:v>18.723814009147</c:v>
                </c:pt>
                <c:pt idx="432">
                  <c:v>18.8865879987827</c:v>
                </c:pt>
                <c:pt idx="433">
                  <c:v>19.0507444328024</c:v>
                </c:pt>
                <c:pt idx="434">
                  <c:v>19.2162424782191</c:v>
                </c:pt>
                <c:pt idx="435">
                  <c:v>19.3830417319259</c:v>
                </c:pt>
                <c:pt idx="436">
                  <c:v>19.5511022772508</c:v>
                </c:pt>
                <c:pt idx="437">
                  <c:v>19.720384735693</c:v>
                </c:pt>
                <c:pt idx="438">
                  <c:v>19.8908503139162</c:v>
                </c:pt>
                <c:pt idx="439">
                  <c:v>20.062460846101</c:v>
                </c:pt>
                <c:pt idx="440">
                  <c:v>20.235178831783</c:v>
                </c:pt>
                <c:pt idx="441">
                  <c:v>20.4089674693225</c:v>
                </c:pt>
                <c:pt idx="442">
                  <c:v>20.5837906851647</c:v>
                </c:pt>
                <c:pt idx="443">
                  <c:v>20.7596131590707</c:v>
                </c:pt>
                <c:pt idx="444">
                  <c:v>20.9364003454985</c:v>
                </c:pt>
                <c:pt idx="445">
                  <c:v>21.114118491336</c:v>
                </c:pt>
                <c:pt idx="446">
                  <c:v>21.2927346501785</c:v>
                </c:pt>
                <c:pt idx="447">
                  <c:v>21.472216693359</c:v>
                </c:pt>
                <c:pt idx="448">
                  <c:v>21.6525333179326</c:v>
                </c:pt>
                <c:pt idx="449">
                  <c:v>21.8336540518218</c:v>
                </c:pt>
                <c:pt idx="450">
                  <c:v>22.0155492563234</c:v>
                </c:pt>
                <c:pt idx="451">
                  <c:v>22.1981901261767</c:v>
                </c:pt>
                <c:pt idx="452">
                  <c:v>22.3815486873879</c:v>
                </c:pt>
                <c:pt idx="453">
                  <c:v>22.5655977929996</c:v>
                </c:pt>
                <c:pt idx="454">
                  <c:v>22.7503111169897</c:v>
                </c:pt>
                <c:pt idx="455">
                  <c:v>22.9356631464723</c:v>
                </c:pt>
                <c:pt idx="456">
                  <c:v>23.1216291723747</c:v>
                </c:pt>
                <c:pt idx="457">
                  <c:v>23.3081852787452</c:v>
                </c:pt>
                <c:pt idx="458">
                  <c:v>23.4953083308493</c:v>
                </c:pt>
                <c:pt idx="459">
                  <c:v>23.6829759621961</c:v>
                </c:pt>
                <c:pt idx="460">
                  <c:v>23.8711665606306</c:v>
                </c:pt>
                <c:pt idx="461">
                  <c:v>24.0598592536214</c:v>
                </c:pt>
                <c:pt idx="462">
                  <c:v>24.2490338928609</c:v>
                </c:pt>
                <c:pt idx="463">
                  <c:v>24.4386710382906</c:v>
                </c:pt>
                <c:pt idx="464">
                  <c:v>24.6287519416542</c:v>
                </c:pt>
                <c:pt idx="465">
                  <c:v>24.8192585296731</c:v>
                </c:pt>
                <c:pt idx="466">
                  <c:v>25.0101733869337</c:v>
                </c:pt>
                <c:pt idx="467">
                  <c:v>25.2014797385653</c:v>
                </c:pt>
                <c:pt idx="468">
                  <c:v>25.3931614327843</c:v>
                </c:pt>
                <c:pt idx="469">
                  <c:v>25.5852029233699</c:v>
                </c:pt>
                <c:pt idx="470">
                  <c:v>25.777589252134</c:v>
                </c:pt>
                <c:pt idx="471">
                  <c:v>25.9703060314392</c:v>
                </c:pt>
                <c:pt idx="472">
                  <c:v>26.1633394268147</c:v>
                </c:pt>
                <c:pt idx="473">
                  <c:v>26.3566761397141</c:v>
                </c:pt>
                <c:pt idx="474">
                  <c:v>26.550303390455</c:v>
                </c:pt>
                <c:pt idx="475">
                  <c:v>26.7442089013749</c:v>
                </c:pt>
                <c:pt idx="476">
                  <c:v>26.9383808802331</c:v>
                </c:pt>
                <c:pt idx="477">
                  <c:v>27.1328080038867</c:v>
                </c:pt>
                <c:pt idx="478">
                  <c:v>27.3274794022617</c:v>
                </c:pt>
                <c:pt idx="479">
                  <c:v>27.5223846426414</c:v>
                </c:pt>
                <c:pt idx="480">
                  <c:v>27.7175137142852</c:v>
                </c:pt>
                <c:pt idx="481">
                  <c:v>27.9128570133941</c:v>
                </c:pt>
                <c:pt idx="482">
                  <c:v>28.1084053284329</c:v>
                </c:pt>
                <c:pt idx="483">
                  <c:v>28.3041498258177</c:v>
                </c:pt>
                <c:pt idx="484">
                  <c:v>28.5000820359746</c:v>
                </c:pt>
                <c:pt idx="485">
                  <c:v>28.6961938397766</c:v>
                </c:pt>
                <c:pt idx="486">
                  <c:v>28.8924774553571</c:v>
                </c:pt>
                <c:pt idx="487">
                  <c:v>29.0889254253068</c:v>
                </c:pt>
                <c:pt idx="488">
                  <c:v>29.2855306042484</c:v>
                </c:pt>
                <c:pt idx="489">
                  <c:v>29.4822861467912</c:v>
                </c:pt>
                <c:pt idx="490">
                  <c:v>29.6791854958619</c:v>
                </c:pt>
                <c:pt idx="491">
                  <c:v>29.876222371408</c:v>
                </c:pt>
                <c:pt idx="492">
                  <c:v>30.0733907594689</c:v>
                </c:pt>
                <c:pt idx="493">
                  <c:v>30.270684901611</c:v>
                </c:pt>
                <c:pt idx="494">
                  <c:v>30.4680992847189</c:v>
                </c:pt>
                <c:pt idx="495">
                  <c:v>30.6656286311384</c:v>
                </c:pt>
                <c:pt idx="496">
                  <c:v>30.863267889163</c:v>
                </c:pt>
                <c:pt idx="497">
                  <c:v>31.061012223857</c:v>
                </c:pt>
                <c:pt idx="498">
                  <c:v>31.2588570082078</c:v>
                </c:pt>
                <c:pt idx="499">
                  <c:v>31.4567978145996</c:v>
                </c:pt>
                <c:pt idx="500">
                  <c:v>31.6548304065998</c:v>
                </c:pt>
                <c:pt idx="501">
                  <c:v>31.852950731051</c:v>
                </c:pt>
                <c:pt idx="502">
                  <c:v>32.0511549104596</c:v>
                </c:pt>
                <c:pt idx="503">
                  <c:v>32.2494392356716</c:v>
                </c:pt>
                <c:pt idx="504">
                  <c:v>32.4478001588297</c:v>
                </c:pt>
                <c:pt idx="505">
                  <c:v>32.6462342866011</c:v>
                </c:pt>
                <c:pt idx="506">
                  <c:v>32.8447383736683</c:v>
                </c:pt>
                <c:pt idx="507">
                  <c:v>33.0433093164746</c:v>
                </c:pt>
                <c:pt idx="508">
                  <c:v>33.2419441472169</c:v>
                </c:pt>
                <c:pt idx="509">
                  <c:v>33.440640028076</c:v>
                </c:pt>
                <c:pt idx="510">
                  <c:v>33.6393942456772</c:v>
                </c:pt>
                <c:pt idx="511">
                  <c:v>33.8382042057744</c:v>
                </c:pt>
                <c:pt idx="512">
                  <c:v>34.0370674281479</c:v>
                </c:pt>
                <c:pt idx="513">
                  <c:v>34.2359815417103</c:v>
                </c:pt>
                <c:pt idx="514">
                  <c:v>34.4349442798113</c:v>
                </c:pt>
                <c:pt idx="515">
                  <c:v>34.6339534757355</c:v>
                </c:pt>
                <c:pt idx="516">
                  <c:v>34.833007058386</c:v>
                </c:pt>
                <c:pt idx="517">
                  <c:v>35.0321030481461</c:v>
                </c:pt>
                <c:pt idx="518">
                  <c:v>35.231239552913</c:v>
                </c:pt>
                <c:pt idx="519">
                  <c:v>35.4304147642968</c:v>
                </c:pt>
                <c:pt idx="520">
                  <c:v>35.6296269539795</c:v>
                </c:pt>
                <c:pt idx="521">
                  <c:v>35.8288744702259</c:v>
                </c:pt>
                <c:pt idx="522">
                  <c:v>36.0281557345416</c:v>
                </c:pt>
                <c:pt idx="523">
                  <c:v>36.2274692384725</c:v>
                </c:pt>
                <c:pt idx="524">
                  <c:v>36.4268135405409</c:v>
                </c:pt>
                <c:pt idx="525">
                  <c:v>36.6261872633104</c:v>
                </c:pt>
                <c:pt idx="526">
                  <c:v>36.8255890905767</c:v>
                </c:pt>
                <c:pt idx="527">
                  <c:v>37.0250177646782</c:v>
                </c:pt>
                <c:pt idx="528">
                  <c:v>37.2244720839223</c:v>
                </c:pt>
                <c:pt idx="529">
                  <c:v>37.4239509001221</c:v>
                </c:pt>
                <c:pt idx="530">
                  <c:v>37.6234531162381</c:v>
                </c:pt>
                <c:pt idx="531">
                  <c:v>37.8229776841237</c:v>
                </c:pt>
                <c:pt idx="532">
                  <c:v>38.0225236023656</c:v>
                </c:pt>
                <c:pt idx="533">
                  <c:v>38.2220899142202</c:v>
                </c:pt>
                <c:pt idx="534">
                  <c:v>38.4216757056372</c:v>
                </c:pt>
                <c:pt idx="535">
                  <c:v>38.6212801033715</c:v>
                </c:pt>
                <c:pt idx="536">
                  <c:v>38.8209022731746</c:v>
                </c:pt>
                <c:pt idx="537">
                  <c:v>39.0205414180673</c:v>
                </c:pt>
                <c:pt idx="538">
                  <c:v>39.2201967766859</c:v>
                </c:pt>
                <c:pt idx="539">
                  <c:v>39.4198676217022</c:v>
                </c:pt>
                <c:pt idx="540">
                  <c:v>39.6195532583114</c:v>
                </c:pt>
                <c:pt idx="541">
                  <c:v>39.8192530227874</c:v>
                </c:pt>
              </c:numCache>
            </c:numRef>
          </c:yVal>
          <c:smooth val="1"/>
        </c:ser>
        <c:dLbls>
          <c:showLegendKey val="0"/>
          <c:showVal val="0"/>
          <c:showCatName val="0"/>
          <c:showSerName val="0"/>
          <c:showPercent val="0"/>
          <c:showBubbleSize val="0"/>
        </c:dLbls>
        <c:axId val="178856704"/>
        <c:axId val="178858624"/>
      </c:scatterChart>
      <c:scatterChart>
        <c:scatterStyle val="smooth"/>
        <c:varyColors val="0"/>
        <c:ser>
          <c:idx val="1"/>
          <c:order val="1"/>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Loop_Modeling!$AR$19:$AR$560</c:f>
              <c:numCache>
                <c:formatCode>General</c:formatCode>
                <c:ptCount val="542"/>
                <c:pt idx="0">
                  <c:v>-3.8102697894512</c:v>
                </c:pt>
                <c:pt idx="1">
                  <c:v>-3.89874055825557</c:v>
                </c:pt>
                <c:pt idx="2">
                  <c:v>-3.98925200001179</c:v>
                </c:pt>
                <c:pt idx="3">
                  <c:v>-4.08185022191232</c:v>
                </c:pt>
                <c:pt idx="4">
                  <c:v>-4.17658230429213</c:v>
                </c:pt>
                <c:pt idx="5">
                  <c:v>-4.27349631622616</c:v>
                </c:pt>
                <c:pt idx="6">
                  <c:v>-4.37264133100088</c:v>
                </c:pt>
                <c:pt idx="7">
                  <c:v>-4.47406744142515</c:v>
                </c:pt>
                <c:pt idx="8">
                  <c:v>-4.57782577494107</c:v>
                </c:pt>
                <c:pt idx="9">
                  <c:v>-4.68396850849261</c:v>
                </c:pt>
                <c:pt idx="10">
                  <c:v>-4.79254888310753</c:v>
                </c:pt>
                <c:pt idx="11">
                  <c:v>-4.90362121814328</c:v>
                </c:pt>
                <c:pt idx="12">
                  <c:v>-5.01724092514408</c:v>
                </c:pt>
                <c:pt idx="13">
                  <c:v>-5.13346452125349</c:v>
                </c:pt>
                <c:pt idx="14">
                  <c:v>-5.25234964212048</c:v>
                </c:pt>
                <c:pt idx="15">
                  <c:v>-5.37395505423476</c:v>
                </c:pt>
                <c:pt idx="16">
                  <c:v>-5.49834066662022</c:v>
                </c:pt>
                <c:pt idx="17">
                  <c:v>-5.62556754181244</c:v>
                </c:pt>
                <c:pt idx="18">
                  <c:v>-5.75569790603881</c:v>
                </c:pt>
                <c:pt idx="19">
                  <c:v>-5.88879515851571</c:v>
                </c:pt>
                <c:pt idx="20">
                  <c:v>-6.02492387977053</c:v>
                </c:pt>
                <c:pt idx="21">
                  <c:v>-6.16414983889059</c:v>
                </c:pt>
                <c:pt idx="22">
                  <c:v>-6.30653999959274</c:v>
                </c:pt>
                <c:pt idx="23">
                  <c:v>-6.45216252500464</c:v>
                </c:pt>
                <c:pt idx="24">
                  <c:v>-6.60108678103496</c:v>
                </c:pt>
                <c:pt idx="25">
                  <c:v>-6.75338333820943</c:v>
                </c:pt>
                <c:pt idx="26">
                  <c:v>-6.90912397183559</c:v>
                </c:pt>
                <c:pt idx="27">
                  <c:v>-7.06838166035475</c:v>
                </c:pt>
                <c:pt idx="28">
                  <c:v>-7.23123058172882</c:v>
                </c:pt>
                <c:pt idx="29">
                  <c:v>-7.39774610770238</c:v>
                </c:pt>
                <c:pt idx="30">
                  <c:v>-7.56800479576891</c:v>
                </c:pt>
                <c:pt idx="31">
                  <c:v>-7.74208437866274</c:v>
                </c:pt>
                <c:pt idx="32">
                  <c:v>-7.92006375118562</c:v>
                </c:pt>
                <c:pt idx="33">
                  <c:v>-8.10202295417043</c:v>
                </c:pt>
                <c:pt idx="34">
                  <c:v>-8.28804315536814</c:v>
                </c:pt>
                <c:pt idx="35">
                  <c:v>-8.47820662704025</c:v>
                </c:pt>
                <c:pt idx="36">
                  <c:v>-8.67259672002063</c:v>
                </c:pt>
                <c:pt idx="37">
                  <c:v>-8.87129783400605</c:v>
                </c:pt>
                <c:pt idx="38">
                  <c:v>-9.07439538381796</c:v>
                </c:pt>
                <c:pt idx="39">
                  <c:v>-9.2819757613706</c:v>
                </c:pt>
                <c:pt idx="40">
                  <c:v>-9.49412629306523</c:v>
                </c:pt>
                <c:pt idx="41">
                  <c:v>-9.71093519232307</c:v>
                </c:pt>
                <c:pt idx="42">
                  <c:v>-9.93249150695407</c:v>
                </c:pt>
                <c:pt idx="43">
                  <c:v>-10.1588850610506</c:v>
                </c:pt>
                <c:pt idx="44">
                  <c:v>-10.3902063910835</c:v>
                </c:pt>
                <c:pt idx="45">
                  <c:v>-10.6265466758662</c:v>
                </c:pt>
                <c:pt idx="46">
                  <c:v>-10.8679976600468</c:v>
                </c:pt>
                <c:pt idx="47">
                  <c:v>-11.1146515707753</c:v>
                </c:pt>
                <c:pt idx="48">
                  <c:v>-11.3666010271866</c:v>
                </c:pt>
                <c:pt idx="49">
                  <c:v>-11.6239389423363</c:v>
                </c:pt>
                <c:pt idx="50">
                  <c:v>-11.8867584172157</c:v>
                </c:pt>
                <c:pt idx="51">
                  <c:v>-12.1551526264738</c:v>
                </c:pt>
                <c:pt idx="52">
                  <c:v>-12.4292146954687</c:v>
                </c:pt>
                <c:pt idx="53">
                  <c:v>-12.7090375682743</c:v>
                </c:pt>
                <c:pt idx="54">
                  <c:v>-12.9947138662692</c:v>
                </c:pt>
                <c:pt idx="55">
                  <c:v>-13.2863357369405</c:v>
                </c:pt>
                <c:pt idx="56">
                  <c:v>-13.5839946925457</c:v>
                </c:pt>
                <c:pt idx="57">
                  <c:v>-13.8877814382851</c:v>
                </c:pt>
                <c:pt idx="58">
                  <c:v>-14.1977856896581</c:v>
                </c:pt>
                <c:pt idx="59">
                  <c:v>-14.5140959786923</c:v>
                </c:pt>
                <c:pt idx="60">
                  <c:v>-14.8367994487619</c:v>
                </c:pt>
                <c:pt idx="61">
                  <c:v>-15.1659816377442</c:v>
                </c:pt>
                <c:pt idx="62">
                  <c:v>-15.5017262492938</c:v>
                </c:pt>
                <c:pt idx="63">
                  <c:v>-15.8441149120616</c:v>
                </c:pt>
                <c:pt idx="64">
                  <c:v>-16.1932269267292</c:v>
                </c:pt>
                <c:pt idx="65">
                  <c:v>-16.5491390007879</c:v>
                </c:pt>
                <c:pt idx="66">
                  <c:v>-16.9119249710529</c:v>
                </c:pt>
                <c:pt idx="67">
                  <c:v>-17.2816555139708</c:v>
                </c:pt>
                <c:pt idx="68">
                  <c:v>-17.6583978438607</c:v>
                </c:pt>
                <c:pt idx="69">
                  <c:v>-18.042215399313</c:v>
                </c:pt>
                <c:pt idx="70">
                  <c:v>-18.4331675180629</c:v>
                </c:pt>
                <c:pt idx="71">
                  <c:v>-18.8313091007633</c:v>
                </c:pt>
                <c:pt idx="72">
                  <c:v>-19.2366902641886</c:v>
                </c:pt>
                <c:pt idx="73">
                  <c:v>-19.6493559845257</c:v>
                </c:pt>
                <c:pt idx="74">
                  <c:v>-20.069345731534</c:v>
                </c:pt>
                <c:pt idx="75">
                  <c:v>-20.4966930944946</c:v>
                </c:pt>
                <c:pt idx="76">
                  <c:v>-20.9314254010126</c:v>
                </c:pt>
                <c:pt idx="77">
                  <c:v>-21.3735633298887</c:v>
                </c:pt>
                <c:pt idx="78">
                  <c:v>-21.823120519432</c:v>
                </c:pt>
                <c:pt idx="79">
                  <c:v>-22.2801031727482</c:v>
                </c:pt>
                <c:pt idx="80">
                  <c:v>-22.7445096617053</c:v>
                </c:pt>
                <c:pt idx="81">
                  <c:v>-23.2163301314423</c:v>
                </c:pt>
                <c:pt idx="82">
                  <c:v>-23.6955461074593</c:v>
                </c:pt>
                <c:pt idx="83">
                  <c:v>-24.18213010749</c:v>
                </c:pt>
                <c:pt idx="84">
                  <c:v>-24.6760452605213</c:v>
                </c:pt>
                <c:pt idx="85">
                  <c:v>-25.1772449354785</c:v>
                </c:pt>
                <c:pt idx="86">
                  <c:v>-25.6856723822454</c:v>
                </c:pt>
                <c:pt idx="87">
                  <c:v>-26.2012603878148</c:v>
                </c:pt>
                <c:pt idx="88">
                  <c:v>-26.7239309504932</c:v>
                </c:pt>
                <c:pt idx="89">
                  <c:v>-27.2535949751718</c:v>
                </c:pt>
                <c:pt idx="90">
                  <c:v>-27.7901519927687</c:v>
                </c:pt>
                <c:pt idx="91">
                  <c:v>-28.3334899069824</c:v>
                </c:pt>
                <c:pt idx="92">
                  <c:v>-28.8834847715394</c:v>
                </c:pt>
                <c:pt idx="93">
                  <c:v>-29.440000601096</c:v>
                </c:pt>
                <c:pt idx="94">
                  <c:v>-30.0028892189218</c:v>
                </c:pt>
                <c:pt idx="95">
                  <c:v>-30.5719901444098</c:v>
                </c:pt>
                <c:pt idx="96">
                  <c:v>-31.1471305233379</c:v>
                </c:pt>
                <c:pt idx="97">
                  <c:v>-31.7281251036498</c:v>
                </c:pt>
                <c:pt idx="98">
                  <c:v>-32.3147762593147</c:v>
                </c:pt>
                <c:pt idx="99">
                  <c:v>-32.9068740645843</c:v>
                </c:pt>
                <c:pt idx="100">
                  <c:v>-33.5041964206709</c:v>
                </c:pt>
                <c:pt idx="101">
                  <c:v>-34.1065092365423</c:v>
                </c:pt>
                <c:pt idx="102">
                  <c:v>-34.7135666651523</c:v>
                </c:pt>
                <c:pt idx="103">
                  <c:v>-35.3251113960174</c:v>
                </c:pt>
                <c:pt idx="104">
                  <c:v>-35.9408750046052</c:v>
                </c:pt>
                <c:pt idx="105">
                  <c:v>-36.560578358525</c:v>
                </c:pt>
                <c:pt idx="106">
                  <c:v>-37.1839320800054</c:v>
                </c:pt>
                <c:pt idx="107">
                  <c:v>-37.8106370636397</c:v>
                </c:pt>
                <c:pt idx="108">
                  <c:v>-38.4403850478337</c:v>
                </c:pt>
                <c:pt idx="109">
                  <c:v>-39.072859237867</c:v>
                </c:pt>
                <c:pt idx="110">
                  <c:v>-39.7077349779481</c:v>
                </c:pt>
                <c:pt idx="111">
                  <c:v>-40.3446804691248</c:v>
                </c:pt>
                <c:pt idx="112">
                  <c:v>-40.983357529406</c:v>
                </c:pt>
                <c:pt idx="113">
                  <c:v>-41.623422392008</c:v>
                </c:pt>
                <c:pt idx="114">
                  <c:v>-42.2645265371693</c:v>
                </c:pt>
                <c:pt idx="115">
                  <c:v>-42.9063175526332</c:v>
                </c:pt>
                <c:pt idx="116">
                  <c:v>-43.5484400175261</c:v>
                </c:pt>
                <c:pt idx="117">
                  <c:v>-44.1905364041134</c:v>
                </c:pt>
                <c:pt idx="118">
                  <c:v>-44.8322479916801</c:v>
                </c:pt>
                <c:pt idx="119">
                  <c:v>-45.4732157866463</c:v>
                </c:pt>
                <c:pt idx="120">
                  <c:v>-46.1130814429549</c:v>
                </c:pt>
                <c:pt idx="121">
                  <c:v>-46.7514881767575</c:v>
                </c:pt>
                <c:pt idx="122">
                  <c:v>-47.3880816694901</c:v>
                </c:pt>
                <c:pt idx="123">
                  <c:v>-48.0225109535821</c:v>
                </c:pt>
                <c:pt idx="124">
                  <c:v>-48.654429275224</c:v>
                </c:pt>
                <c:pt idx="125">
                  <c:v>-49.283494928911</c:v>
                </c:pt>
                <c:pt idx="126">
                  <c:v>-49.909372058788</c:v>
                </c:pt>
                <c:pt idx="127">
                  <c:v>-50.5317314222126</c:v>
                </c:pt>
                <c:pt idx="128">
                  <c:v>-51.1502511113802</c:v>
                </c:pt>
                <c:pt idx="129">
                  <c:v>-51.7646172293037</c:v>
                </c:pt>
                <c:pt idx="130">
                  <c:v>-52.3745245169539</c:v>
                </c:pt>
                <c:pt idx="131">
                  <c:v>-52.9796769288693</c:v>
                </c:pt>
                <c:pt idx="132">
                  <c:v>-53.5797881550713</c:v>
                </c:pt>
                <c:pt idx="133">
                  <c:v>-54.1745820876713</c:v>
                </c:pt>
                <c:pt idx="134">
                  <c:v>-54.7637932310607</c:v>
                </c:pt>
                <c:pt idx="135">
                  <c:v>-55.3471670551182</c:v>
                </c:pt>
                <c:pt idx="136">
                  <c:v>-55.9244602913572</c:v>
                </c:pt>
                <c:pt idx="137">
                  <c:v>-56.4954411724218</c:v>
                </c:pt>
                <c:pt idx="138">
                  <c:v>-57.0598896157824</c:v>
                </c:pt>
                <c:pt idx="139">
                  <c:v>-57.6175973529069</c:v>
                </c:pt>
                <c:pt idx="140">
                  <c:v>-58.1683680055484</c:v>
                </c:pt>
                <c:pt idx="141">
                  <c:v>-58.7120171111412</c:v>
                </c:pt>
                <c:pt idx="142">
                  <c:v>-59.248372099583</c:v>
                </c:pt>
                <c:pt idx="143">
                  <c:v>-59.7772722239349</c:v>
                </c:pt>
                <c:pt idx="144">
                  <c:v>-60.2985684477846</c:v>
                </c:pt>
                <c:pt idx="145">
                  <c:v>-60.812123292178</c:v>
                </c:pt>
                <c:pt idx="146">
                  <c:v>-61.317810645149</c:v>
                </c:pt>
                <c:pt idx="147">
                  <c:v>-61.8155155369695</c:v>
                </c:pt>
                <c:pt idx="148">
                  <c:v>-62.3051338842748</c:v>
                </c:pt>
                <c:pt idx="149">
                  <c:v>-62.7865722062452</c:v>
                </c:pt>
                <c:pt idx="150">
                  <c:v>-63.2597473159936</c:v>
                </c:pt>
                <c:pt idx="151">
                  <c:v>-63.7245859902648</c:v>
                </c:pt>
                <c:pt idx="152">
                  <c:v>-64.1810246204777</c:v>
                </c:pt>
                <c:pt idx="153">
                  <c:v>-64.6290088480393</c:v>
                </c:pt>
                <c:pt idx="154">
                  <c:v>-65.0684931867509</c:v>
                </c:pt>
                <c:pt idx="155">
                  <c:v>-65.4994406349856</c:v>
                </c:pt>
                <c:pt idx="156">
                  <c:v>-65.9218222801822</c:v>
                </c:pt>
                <c:pt idx="157">
                  <c:v>-66.3356168980338</c:v>
                </c:pt>
                <c:pt idx="158">
                  <c:v>-66.7408105486026</c:v>
                </c:pt>
                <c:pt idx="159">
                  <c:v>-67.1373961714122</c:v>
                </c:pt>
                <c:pt idx="160">
                  <c:v>-67.5253731814135</c:v>
                </c:pt>
                <c:pt idx="161">
                  <c:v>-67.9047470675449</c:v>
                </c:pt>
                <c:pt idx="162">
                  <c:v>-68.2755289954444</c:v>
                </c:pt>
                <c:pt idx="163">
                  <c:v>-68.6377354157107</c:v>
                </c:pt>
                <c:pt idx="164">
                  <c:v>-68.9913876789489</c:v>
                </c:pt>
                <c:pt idx="165">
                  <c:v>-69.3365116586894</c:v>
                </c:pt>
                <c:pt idx="166">
                  <c:v>-69.67313738312</c:v>
                </c:pt>
                <c:pt idx="167">
                  <c:v>-70.0012986764367</c:v>
                </c:pt>
                <c:pt idx="168">
                  <c:v>-70.3210328104874</c:v>
                </c:pt>
                <c:pt idx="169">
                  <c:v>-70.6323801672639</c:v>
                </c:pt>
                <c:pt idx="170">
                  <c:v>-70.9353839126839</c:v>
                </c:pt>
                <c:pt idx="171">
                  <c:v>-71.2300896820008</c:v>
                </c:pt>
                <c:pt idx="172">
                  <c:v>-71.5165452770869</c:v>
                </c:pt>
                <c:pt idx="173">
                  <c:v>-71.7948003757462</c:v>
                </c:pt>
                <c:pt idx="174">
                  <c:v>-72.0649062531357</c:v>
                </c:pt>
                <c:pt idx="175">
                  <c:v>-72.3269155153062</c:v>
                </c:pt>
                <c:pt idx="176">
                  <c:v>-72.5808818448089</c:v>
                </c:pt>
                <c:pt idx="177">
                  <c:v>-72.8268597582599</c:v>
                </c:pt>
                <c:pt idx="178">
                  <c:v>-73.0649043757084</c:v>
                </c:pt>
                <c:pt idx="179">
                  <c:v>-73.2950712016103</c:v>
                </c:pt>
                <c:pt idx="180">
                  <c:v>-73.5174159171763</c:v>
                </c:pt>
                <c:pt idx="181">
                  <c:v>-73.7319941838332</c:v>
                </c:pt>
                <c:pt idx="182">
                  <c:v>-73.938861457512</c:v>
                </c:pt>
                <c:pt idx="183">
                  <c:v>-74.1380728134589</c:v>
                </c:pt>
                <c:pt idx="184">
                  <c:v>-74.329682781249</c:v>
                </c:pt>
                <c:pt idx="185">
                  <c:v>-74.5137451896729</c:v>
                </c:pt>
                <c:pt idx="186">
                  <c:v>-74.6903130211577</c:v>
                </c:pt>
                <c:pt idx="187">
                  <c:v>-74.8594382753822</c:v>
                </c:pt>
                <c:pt idx="188">
                  <c:v>-75.0211718417437</c:v>
                </c:pt>
                <c:pt idx="189">
                  <c:v>-75.1755633803363</c:v>
                </c:pt>
                <c:pt idx="190">
                  <c:v>-75.3226612111052</c:v>
                </c:pt>
                <c:pt idx="191">
                  <c:v>-75.4625122108473</c:v>
                </c:pt>
                <c:pt idx="192">
                  <c:v>-75.5951617177368</c:v>
                </c:pt>
                <c:pt idx="193">
                  <c:v>-75.7206534430646</c:v>
                </c:pt>
                <c:pt idx="194">
                  <c:v>-75.8390293898925</c:v>
                </c:pt>
                <c:pt idx="195">
                  <c:v>-75.9503297783319</c:v>
                </c:pt>
                <c:pt idx="196">
                  <c:v>-76.0545929771763</c:v>
                </c:pt>
                <c:pt idx="197">
                  <c:v>-76.1518554416265</c:v>
                </c:pt>
                <c:pt idx="198">
                  <c:v>-76.2421516568638</c:v>
                </c:pt>
                <c:pt idx="199">
                  <c:v>-76.3255140872446</c:v>
                </c:pt>
                <c:pt idx="200">
                  <c:v>-76.4019731309022</c:v>
                </c:pt>
                <c:pt idx="201">
                  <c:v>-76.4715570795644</c:v>
                </c:pt>
                <c:pt idx="202">
                  <c:v>-76.5342920834041</c:v>
                </c:pt>
                <c:pt idx="203">
                  <c:v>-76.5902021207682</c:v>
                </c:pt>
                <c:pt idx="204">
                  <c:v>-76.6393089726391</c:v>
                </c:pt>
                <c:pt idx="205">
                  <c:v>-76.6816322017052</c:v>
                </c:pt>
                <c:pt idx="206">
                  <c:v>-76.7171891359362</c:v>
                </c:pt>
                <c:pt idx="207">
                  <c:v>-76.7459948565719</c:v>
                </c:pt>
                <c:pt idx="208">
                  <c:v>-76.7680621904595</c:v>
                </c:pt>
                <c:pt idx="209">
                  <c:v>-76.7834017066853</c:v>
                </c:pt>
                <c:pt idx="210">
                  <c:v>-76.7920217174701</c:v>
                </c:pt>
                <c:pt idx="211">
                  <c:v>-76.7939282833139</c:v>
                </c:pt>
                <c:pt idx="212">
                  <c:v>-76.7891252223953</c:v>
                </c:pt>
                <c:pt idx="213">
                  <c:v>-76.7776141242484</c:v>
                </c:pt>
                <c:pt idx="214">
                  <c:v>-76.7593943677606</c:v>
                </c:pt>
                <c:pt idx="215">
                  <c:v>-76.7344631435487</c:v>
                </c:pt>
                <c:pt idx="216">
                  <c:v>-76.7028154807962</c:v>
                </c:pt>
                <c:pt idx="217">
                  <c:v>-76.6644442786462</c:v>
                </c:pt>
                <c:pt idx="218">
                  <c:v>-76.619340342267</c:v>
                </c:pt>
                <c:pt idx="219">
                  <c:v>-76.5674924237226</c:v>
                </c:pt>
                <c:pt idx="220">
                  <c:v>-76.5088872678027</c:v>
                </c:pt>
                <c:pt idx="221">
                  <c:v>-76.4435096629783</c:v>
                </c:pt>
                <c:pt idx="222">
                  <c:v>-76.3713424976726</c:v>
                </c:pt>
                <c:pt idx="223">
                  <c:v>-76.29236682205</c:v>
                </c:pt>
                <c:pt idx="224">
                  <c:v>-76.2065619155443</c:v>
                </c:pt>
                <c:pt idx="225">
                  <c:v>-76.1139053603643</c:v>
                </c:pt>
                <c:pt idx="226">
                  <c:v>-76.0143731212285</c:v>
                </c:pt>
                <c:pt idx="227">
                  <c:v>-75.9079396315983</c:v>
                </c:pt>
                <c:pt idx="228">
                  <c:v>-75.7945778866901</c:v>
                </c:pt>
                <c:pt idx="229">
                  <c:v>-75.674259543564</c:v>
                </c:pt>
                <c:pt idx="230">
                  <c:v>-75.5469550285956</c:v>
                </c:pt>
                <c:pt idx="231">
                  <c:v>-75.4126336526491</c:v>
                </c:pt>
                <c:pt idx="232">
                  <c:v>-75.271263734281</c:v>
                </c:pt>
                <c:pt idx="233">
                  <c:v>-75.1228127313086</c:v>
                </c:pt>
                <c:pt idx="234">
                  <c:v>-74.9672473810867</c:v>
                </c:pt>
                <c:pt idx="235">
                  <c:v>-74.8045338498351</c:v>
                </c:pt>
                <c:pt idx="236">
                  <c:v>-74.6346378913657</c:v>
                </c:pt>
                <c:pt idx="237">
                  <c:v>-74.4575250155521</c:v>
                </c:pt>
                <c:pt idx="238">
                  <c:v>-74.2731606668824</c:v>
                </c:pt>
                <c:pt idx="239">
                  <c:v>-74.0815104134265</c:v>
                </c:pt>
                <c:pt idx="240">
                  <c:v>-73.8825401465376</c:v>
                </c:pt>
                <c:pt idx="241">
                  <c:v>-73.676216291593</c:v>
                </c:pt>
                <c:pt idx="242">
                  <c:v>-73.4625060300539</c:v>
                </c:pt>
                <c:pt idx="243">
                  <c:v>-73.2413775331062</c:v>
                </c:pt>
                <c:pt idx="244">
                  <c:v>-73.0128002071033</c:v>
                </c:pt>
                <c:pt idx="245">
                  <c:v>-72.7767449510039</c:v>
                </c:pt>
                <c:pt idx="246">
                  <c:v>-72.5331844259484</c:v>
                </c:pt>
                <c:pt idx="247">
                  <c:v>-72.282093337072</c:v>
                </c:pt>
                <c:pt idx="248">
                  <c:v>-72.0234487275895</c:v>
                </c:pt>
                <c:pt idx="249">
                  <c:v>-71.7572302851325</c:v>
                </c:pt>
                <c:pt idx="250">
                  <c:v>-71.4834206602335</c:v>
                </c:pt>
                <c:pt idx="251">
                  <c:v>-71.2020057967846</c:v>
                </c:pt>
                <c:pt idx="252">
                  <c:v>-70.9129752741991</c:v>
                </c:pt>
                <c:pt idx="253">
                  <c:v>-70.6163226609141</c:v>
                </c:pt>
                <c:pt idx="254">
                  <c:v>-70.3120458787591</c:v>
                </c:pt>
                <c:pt idx="255">
                  <c:v>-70.000147577609</c:v>
                </c:pt>
                <c:pt idx="256">
                  <c:v>-69.6806355196066</c:v>
                </c:pt>
                <c:pt idx="257">
                  <c:v>-69.3535229721182</c:v>
                </c:pt>
                <c:pt idx="258">
                  <c:v>-69.0188291084367</c:v>
                </c:pt>
                <c:pt idx="259">
                  <c:v>-68.6765794151056</c:v>
                </c:pt>
                <c:pt idx="260">
                  <c:v>-68.3268061045828</c:v>
                </c:pt>
                <c:pt idx="261">
                  <c:v>-67.9695485318</c:v>
                </c:pt>
                <c:pt idx="262">
                  <c:v>-67.6048536130159</c:v>
                </c:pt>
                <c:pt idx="263">
                  <c:v>-67.2327762451877</c:v>
                </c:pt>
                <c:pt idx="264">
                  <c:v>-66.8533797239236</c:v>
                </c:pt>
                <c:pt idx="265">
                  <c:v>-66.4667361579064</c:v>
                </c:pt>
                <c:pt idx="266">
                  <c:v>-66.0729268775162</c:v>
                </c:pt>
                <c:pt idx="267">
                  <c:v>-65.6720428352196</c:v>
                </c:pt>
                <c:pt idx="268">
                  <c:v>-65.2641849951384</c:v>
                </c:pt>
                <c:pt idx="269">
                  <c:v>-64.8494647090706</c:v>
                </c:pt>
                <c:pt idx="270">
                  <c:v>-64.4280040761116</c:v>
                </c:pt>
                <c:pt idx="271">
                  <c:v>-63.9999362829014</c:v>
                </c:pt>
                <c:pt idx="272">
                  <c:v>-63.5654059214417</c:v>
                </c:pt>
                <c:pt idx="273">
                  <c:v>-63.1245692813564</c:v>
                </c:pt>
                <c:pt idx="274">
                  <c:v>-62.6775946134193</c:v>
                </c:pt>
                <c:pt idx="275">
                  <c:v>-62.2246623611688</c:v>
                </c:pt>
                <c:pt idx="276">
                  <c:v>-61.7659653574467</c:v>
                </c:pt>
                <c:pt idx="277">
                  <c:v>-61.3017089827529</c:v>
                </c:pt>
                <c:pt idx="278">
                  <c:v>-60.8321112824042</c:v>
                </c:pt>
                <c:pt idx="279">
                  <c:v>-60.357403039617</c:v>
                </c:pt>
                <c:pt idx="280">
                  <c:v>-59.877827801817</c:v>
                </c:pt>
                <c:pt idx="281">
                  <c:v>-59.3936418576891</c:v>
                </c:pt>
                <c:pt idx="282">
                  <c:v>-58.9051141627528</c:v>
                </c:pt>
                <c:pt idx="283">
                  <c:v>-58.4125262115469</c:v>
                </c:pt>
                <c:pt idx="284">
                  <c:v>-57.9161718548605</c:v>
                </c:pt>
                <c:pt idx="285">
                  <c:v>-57.416357060831</c:v>
                </c:pt>
                <c:pt idx="286">
                  <c:v>-56.9133996191519</c:v>
                </c:pt>
                <c:pt idx="287">
                  <c:v>-56.4076287880933</c:v>
                </c:pt>
                <c:pt idx="288">
                  <c:v>-55.8993848845175</c:v>
                </c:pt>
                <c:pt idx="289">
                  <c:v>-55.3890188175787</c:v>
                </c:pt>
                <c:pt idx="290">
                  <c:v>-54.8768915673176</c:v>
                </c:pt>
                <c:pt idx="291">
                  <c:v>-54.3633736098889</c:v>
                </c:pt>
                <c:pt idx="292">
                  <c:v>-53.8488442916906</c:v>
                </c:pt>
                <c:pt idx="293">
                  <c:v>-53.3336911551874</c:v>
                </c:pt>
                <c:pt idx="294">
                  <c:v>-52.8183092197228</c:v>
                </c:pt>
                <c:pt idx="295">
                  <c:v>-52.3031002211012</c:v>
                </c:pt>
                <c:pt idx="296">
                  <c:v>-51.7884718141672</c:v>
                </c:pt>
                <c:pt idx="297">
                  <c:v>-51.2748367430194</c:v>
                </c:pt>
                <c:pt idx="298">
                  <c:v>-50.7626119838567</c:v>
                </c:pt>
                <c:pt idx="299">
                  <c:v>-50.2522178657582</c:v>
                </c:pt>
                <c:pt idx="300">
                  <c:v>-49.7440771749501</c:v>
                </c:pt>
                <c:pt idx="301">
                  <c:v>-49.2386142482836</c:v>
                </c:pt>
                <c:pt idx="302">
                  <c:v>-48.7362540617649</c:v>
                </c:pt>
                <c:pt idx="303">
                  <c:v>-48.237421320022</c:v>
                </c:pt>
                <c:pt idx="304">
                  <c:v>-47.7425395525472</c:v>
                </c:pt>
                <c:pt idx="305">
                  <c:v>-47.2520302224696</c:v>
                </c:pt>
                <c:pt idx="306">
                  <c:v>-46.7663118534244</c:v>
                </c:pt>
                <c:pt idx="307">
                  <c:v>-46.2857991798514</c:v>
                </c:pt>
                <c:pt idx="308">
                  <c:v>-45.8109023257556</c:v>
                </c:pt>
                <c:pt idx="309">
                  <c:v>-45.3420260165982</c:v>
                </c:pt>
                <c:pt idx="310">
                  <c:v>-44.8795688285883</c:v>
                </c:pt>
                <c:pt idx="311">
                  <c:v>-44.4239224791805</c:v>
                </c:pt>
                <c:pt idx="312">
                  <c:v>-43.9754711621091</c:v>
                </c:pt>
                <c:pt idx="313">
                  <c:v>-43.5345909297706</c:v>
                </c:pt>
                <c:pt idx="314">
                  <c:v>-43.1016491252313</c:v>
                </c:pt>
                <c:pt idx="315">
                  <c:v>-42.677003865605</c:v>
                </c:pt>
                <c:pt idx="316">
                  <c:v>-42.2610035779872</c:v>
                </c:pt>
                <c:pt idx="317">
                  <c:v>-41.8539865886096</c:v>
                </c:pt>
                <c:pt idx="318">
                  <c:v>-41.4562807653408</c:v>
                </c:pt>
                <c:pt idx="319">
                  <c:v>-41.0682032131655</c:v>
                </c:pt>
                <c:pt idx="320">
                  <c:v>-40.690060021788</c:v>
                </c:pt>
                <c:pt idx="321">
                  <c:v>-40.3221460640641</c:v>
                </c:pt>
                <c:pt idx="322">
                  <c:v>-39.964744843551</c:v>
                </c:pt>
                <c:pt idx="323">
                  <c:v>-39.6181283890933</c:v>
                </c:pt>
                <c:pt idx="324">
                  <c:v>-39.2825571940287</c:v>
                </c:pt>
                <c:pt idx="325">
                  <c:v>-38.9582801973169</c:v>
                </c:pt>
                <c:pt idx="326">
                  <c:v>-38.6455348036378</c:v>
                </c:pt>
                <c:pt idx="327">
                  <c:v>-38.344546939318</c:v>
                </c:pt>
                <c:pt idx="328">
                  <c:v>-38.0555311407711</c:v>
                </c:pt>
                <c:pt idx="329">
                  <c:v>-37.7786906720392</c:v>
                </c:pt>
                <c:pt idx="330">
                  <c:v>-37.5142176679306</c:v>
                </c:pt>
                <c:pt idx="331">
                  <c:v>-37.2622932992192</c:v>
                </c:pt>
                <c:pt idx="332">
                  <c:v>-37.023087956368</c:v>
                </c:pt>
                <c:pt idx="333">
                  <c:v>-36.7967614482627</c:v>
                </c:pt>
                <c:pt idx="334">
                  <c:v>-36.5834632125063</c:v>
                </c:pt>
                <c:pt idx="335">
                  <c:v>-36.3833325339067</c:v>
                </c:pt>
                <c:pt idx="336">
                  <c:v>-36.1964987678996</c:v>
                </c:pt>
                <c:pt idx="337">
                  <c:v>-36.0230815657785</c:v>
                </c:pt>
                <c:pt idx="338">
                  <c:v>-35.8631910987458</c:v>
                </c:pt>
                <c:pt idx="339">
                  <c:v>-35.7169282779688</c:v>
                </c:pt>
                <c:pt idx="340">
                  <c:v>-35.5843849679861</c:v>
                </c:pt>
                <c:pt idx="341">
                  <c:v>-35.4656441910075</c:v>
                </c:pt>
                <c:pt idx="342">
                  <c:v>-35.3607803198285</c:v>
                </c:pt>
                <c:pt idx="343">
                  <c:v>-35.2698592572909</c:v>
                </c:pt>
                <c:pt idx="344">
                  <c:v>-35.1929386004151</c:v>
                </c:pt>
                <c:pt idx="345">
                  <c:v>-35.1300677875384</c:v>
                </c:pt>
                <c:pt idx="346">
                  <c:v>-35.0812882270055</c:v>
                </c:pt>
                <c:pt idx="347">
                  <c:v>-35.0466334061638</c:v>
                </c:pt>
                <c:pt idx="348">
                  <c:v>-35.0261289796266</c:v>
                </c:pt>
                <c:pt idx="349">
                  <c:v>-35.0197928359851</c:v>
                </c:pt>
                <c:pt idx="350">
                  <c:v>-35.0276351423532</c:v>
                </c:pt>
                <c:pt idx="351">
                  <c:v>-35.0496583663486</c:v>
                </c:pt>
                <c:pt idx="352">
                  <c:v>-35.0858572753224</c:v>
                </c:pt>
                <c:pt idx="353">
                  <c:v>-35.1362189128599</c:v>
                </c:pt>
                <c:pt idx="354">
                  <c:v>-35.2007225527916</c:v>
                </c:pt>
                <c:pt idx="355">
                  <c:v>-35.2793396311599</c:v>
                </c:pt>
                <c:pt idx="356">
                  <c:v>-35.3720336568051</c:v>
                </c:pt>
                <c:pt idx="357">
                  <c:v>-35.4787601014395</c:v>
                </c:pt>
                <c:pt idx="358">
                  <c:v>-35.5994662702965</c:v>
                </c:pt>
                <c:pt idx="359">
                  <c:v>-35.7340911546467</c:v>
                </c:pt>
                <c:pt idx="360">
                  <c:v>-35.8825652676886</c:v>
                </c:pt>
                <c:pt idx="361">
                  <c:v>-36.0448104655247</c:v>
                </c:pt>
                <c:pt idx="362">
                  <c:v>-36.2207397551425</c:v>
                </c:pt>
                <c:pt idx="363">
                  <c:v>-36.4102570915206</c:v>
                </c:pt>
                <c:pt idx="364">
                  <c:v>-36.6132571661784</c:v>
                </c:pt>
                <c:pt idx="365">
                  <c:v>-36.8296251896742</c:v>
                </c:pt>
                <c:pt idx="366">
                  <c:v>-37.059236670744</c:v>
                </c:pt>
                <c:pt idx="367">
                  <c:v>-37.3019571949393</c:v>
                </c:pt>
                <c:pt idx="368">
                  <c:v>-37.5576422057842</c:v>
                </c:pt>
                <c:pt idx="369">
                  <c:v>-37.8261367916091</c:v>
                </c:pt>
                <c:pt idx="370">
                  <c:v>-38.1072754813554</c:v>
                </c:pt>
                <c:pt idx="371">
                  <c:v>-38.4008820527319</c:v>
                </c:pt>
                <c:pt idx="372">
                  <c:v>-38.7067693561954</c:v>
                </c:pt>
                <c:pt idx="373">
                  <c:v>-39.0247391582809</c:v>
                </c:pt>
                <c:pt idx="374">
                  <c:v>-39.3545820078186</c:v>
                </c:pt>
                <c:pt idx="375">
                  <c:v>-39.696077128577</c:v>
                </c:pt>
                <c:pt idx="376">
                  <c:v>-40.0489923418133</c:v>
                </c:pt>
                <c:pt idx="377">
                  <c:v>-40.4130840221368</c:v>
                </c:pt>
                <c:pt idx="378">
                  <c:v>-40.7880970899625</c:v>
                </c:pt>
                <c:pt idx="379">
                  <c:v>-41.1737650436593</c:v>
                </c:pt>
                <c:pt idx="380">
                  <c:v>-41.5698100342957</c:v>
                </c:pt>
                <c:pt idx="381">
                  <c:v>-41.9759429856274</c:v>
                </c:pt>
                <c:pt idx="382">
                  <c:v>-42.3918637616694</c:v>
                </c:pt>
                <c:pt idx="383">
                  <c:v>-42.8172613838603</c:v>
                </c:pt>
                <c:pt idx="384">
                  <c:v>-43.2518142994412</c:v>
                </c:pt>
                <c:pt idx="385">
                  <c:v>-43.6951907022571</c:v>
                </c:pt>
                <c:pt idx="386">
                  <c:v>-44.1470489067221</c:v>
                </c:pt>
                <c:pt idx="387">
                  <c:v>-44.6070377752205</c:v>
                </c:pt>
                <c:pt idx="388">
                  <c:v>-45.0747971986977</c:v>
                </c:pt>
                <c:pt idx="389">
                  <c:v>-45.5499586296638</c:v>
                </c:pt>
                <c:pt idx="390">
                  <c:v>-46.0321456663036</c:v>
                </c:pt>
                <c:pt idx="391">
                  <c:v>-46.5209746858323</c:v>
                </c:pt>
                <c:pt idx="392">
                  <c:v>-47.0160555247007</c:v>
                </c:pt>
                <c:pt idx="393">
                  <c:v>-47.5169922027236</c:v>
                </c:pt>
                <c:pt idx="394">
                  <c:v>-48.0233836876991</c:v>
                </c:pt>
                <c:pt idx="395">
                  <c:v>-48.5348246966028</c:v>
                </c:pt>
                <c:pt idx="396">
                  <c:v>-49.0509065290023</c:v>
                </c:pt>
                <c:pt idx="397">
                  <c:v>-49.5712179279395</c:v>
                </c:pt>
                <c:pt idx="398">
                  <c:v>-50.095345963176</c:v>
                </c:pt>
                <c:pt idx="399">
                  <c:v>-50.6228769314194</c:v>
                </c:pt>
                <c:pt idx="400">
                  <c:v>-51.1533972679114</c:v>
                </c:pt>
                <c:pt idx="401">
                  <c:v>-51.6864944636118</c:v>
                </c:pt>
                <c:pt idx="402">
                  <c:v>-52.2217579821125</c:v>
                </c:pt>
                <c:pt idx="403">
                  <c:v>-52.7587801704169</c:v>
                </c:pt>
                <c:pt idx="404">
                  <c:v>-53.2971571577554</c:v>
                </c:pt>
                <c:pt idx="405">
                  <c:v>-53.8364897367537</c:v>
                </c:pt>
                <c:pt idx="406">
                  <c:v>-54.3763842214528</c:v>
                </c:pt>
                <c:pt idx="407">
                  <c:v>-54.9164532769418</c:v>
                </c:pt>
                <c:pt idx="408">
                  <c:v>-55.4563167156915</c:v>
                </c:pt>
                <c:pt idx="409">
                  <c:v>-55.9956022560306</c:v>
                </c:pt>
                <c:pt idx="410">
                  <c:v>-56.533946238646</c:v>
                </c:pt>
                <c:pt idx="411">
                  <c:v>-57.0709942974308</c:v>
                </c:pt>
                <c:pt idx="412">
                  <c:v>-57.6064019814947</c:v>
                </c:pt>
                <c:pt idx="413">
                  <c:v>-58.1398353256696</c:v>
                </c:pt>
                <c:pt idx="414">
                  <c:v>-58.670971367355</c:v>
                </c:pt>
                <c:pt idx="415">
                  <c:v>-59.1994986080916</c:v>
                </c:pt>
                <c:pt idx="416">
                  <c:v>-59.725117418768</c:v>
                </c:pt>
                <c:pt idx="417">
                  <c:v>-60.2475403878918</c:v>
                </c:pt>
                <c:pt idx="418">
                  <c:v>-60.7664926128498</c:v>
                </c:pt>
                <c:pt idx="419">
                  <c:v>-61.2817119345694</c:v>
                </c:pt>
                <c:pt idx="420">
                  <c:v>-61.7929491164296</c:v>
                </c:pt>
                <c:pt idx="421">
                  <c:v>-62.2999679687007</c:v>
                </c:pt>
                <c:pt idx="422">
                  <c:v>-62.8025454201527</c:v>
                </c:pt>
                <c:pt idx="423">
                  <c:v>-63.3004715388287</c:v>
                </c:pt>
                <c:pt idx="424">
                  <c:v>-63.7935495042608</c:v>
                </c:pt>
                <c:pt idx="425">
                  <c:v>-64.2815955336677</c:v>
                </c:pt>
                <c:pt idx="426">
                  <c:v>-64.7644387648841</c:v>
                </c:pt>
                <c:pt idx="427">
                  <c:v>-65.2419210989289</c:v>
                </c:pt>
                <c:pt idx="428">
                  <c:v>-65.7138970052606</c:v>
                </c:pt>
                <c:pt idx="429">
                  <c:v>-66.1802332928395</c:v>
                </c:pt>
                <c:pt idx="430">
                  <c:v>-66.6408088501706</c:v>
                </c:pt>
                <c:pt idx="431">
                  <c:v>-67.0955143575152</c:v>
                </c:pt>
                <c:pt idx="432">
                  <c:v>-67.5442519744358</c:v>
                </c:pt>
                <c:pt idx="433">
                  <c:v>-67.9869350057936</c:v>
                </c:pt>
                <c:pt idx="434">
                  <c:v>-68.4234875492388</c:v>
                </c:pt>
                <c:pt idx="435">
                  <c:v>-68.8538441271449</c:v>
                </c:pt>
                <c:pt idx="436">
                  <c:v>-69.2779493058116</c:v>
                </c:pt>
                <c:pt idx="437">
                  <c:v>-69.6957573046425</c:v>
                </c:pt>
                <c:pt idx="438">
                  <c:v>-70.1072315978435</c:v>
                </c:pt>
                <c:pt idx="439">
                  <c:v>-70.5123445110462</c:v>
                </c:pt>
                <c:pt idx="440">
                  <c:v>-70.9110768150912</c:v>
                </c:pt>
                <c:pt idx="441">
                  <c:v>-71.3034173190462</c:v>
                </c:pt>
                <c:pt idx="442">
                  <c:v>-71.689362464356</c:v>
                </c:pt>
                <c:pt idx="443">
                  <c:v>-72.0689159218677</c:v>
                </c:pt>
                <c:pt idx="444">
                  <c:v>-72.4420881932892</c:v>
                </c:pt>
                <c:pt idx="445">
                  <c:v>-72.8088962184957</c:v>
                </c:pt>
                <c:pt idx="446">
                  <c:v>-73.1693629899244</c:v>
                </c:pt>
                <c:pt idx="447">
                  <c:v>-73.5235171751516</c:v>
                </c:pt>
                <c:pt idx="448">
                  <c:v>-73.8713927486017</c:v>
                </c:pt>
                <c:pt idx="449">
                  <c:v>-74.2130286331967</c:v>
                </c:pt>
                <c:pt idx="450">
                  <c:v>-74.5484683526229</c:v>
                </c:pt>
                <c:pt idx="451">
                  <c:v>-74.8777596947715</c:v>
                </c:pt>
                <c:pt idx="452">
                  <c:v>-75.2009543867976</c:v>
                </c:pt>
                <c:pt idx="453">
                  <c:v>-75.5181077821315</c:v>
                </c:pt>
                <c:pt idx="454">
                  <c:v>-75.8292785596861</c:v>
                </c:pt>
                <c:pt idx="455">
                  <c:v>-76.1345284354117</c:v>
                </c:pt>
                <c:pt idx="456">
                  <c:v>-76.4339218862725</c:v>
                </c:pt>
                <c:pt idx="457">
                  <c:v>-76.7275258866457</c:v>
                </c:pt>
                <c:pt idx="458">
                  <c:v>-77.0154096570815</c:v>
                </c:pt>
                <c:pt idx="459">
                  <c:v>-77.2976444253061</c:v>
                </c:pt>
                <c:pt idx="460">
                  <c:v>-77.5743031992966</c:v>
                </c:pt>
                <c:pt idx="461">
                  <c:v>-77.8454605522196</c:v>
                </c:pt>
                <c:pt idx="462">
                  <c:v>-78.1111924189813</c:v>
                </c:pt>
                <c:pt idx="463">
                  <c:v>-78.3715759041123</c:v>
                </c:pt>
                <c:pt idx="464">
                  <c:v>-78.6266891006783</c:v>
                </c:pt>
                <c:pt idx="465">
                  <c:v>-78.876610919889</c:v>
                </c:pt>
                <c:pt idx="466">
                  <c:v>-79.1214209310629</c:v>
                </c:pt>
                <c:pt idx="467">
                  <c:v>-79.3611992115863</c:v>
                </c:pt>
                <c:pt idx="468">
                  <c:v>-79.596026206502</c:v>
                </c:pt>
                <c:pt idx="469">
                  <c:v>-79.8259825973516</c:v>
                </c:pt>
                <c:pt idx="470">
                  <c:v>-80.0511491798961</c:v>
                </c:pt>
                <c:pt idx="471">
                  <c:v>-80.2716067503356</c:v>
                </c:pt>
                <c:pt idx="472">
                  <c:v>-80.4874359996494</c:v>
                </c:pt>
                <c:pt idx="473">
                  <c:v>-80.698717415687</c:v>
                </c:pt>
                <c:pt idx="474">
                  <c:v>-80.9055311926364</c:v>
                </c:pt>
                <c:pt idx="475">
                  <c:v>-81.1079571475105</c:v>
                </c:pt>
                <c:pt idx="476">
                  <c:v>-81.3060746432952</c:v>
                </c:pt>
                <c:pt idx="477">
                  <c:v>-81.4999625184134</c:v>
                </c:pt>
                <c:pt idx="478">
                  <c:v>-81.6896990221674</c:v>
                </c:pt>
                <c:pt idx="479">
                  <c:v>-81.8753617558337</c:v>
                </c:pt>
                <c:pt idx="480">
                  <c:v>-82.0570276190928</c:v>
                </c:pt>
                <c:pt idx="481">
                  <c:v>-82.2347727614905</c:v>
                </c:pt>
                <c:pt idx="482">
                  <c:v>-82.4086725386343</c:v>
                </c:pt>
                <c:pt idx="483">
                  <c:v>-82.578801472845</c:v>
                </c:pt>
                <c:pt idx="484">
                  <c:v>-82.74523321799</c:v>
                </c:pt>
                <c:pt idx="485">
                  <c:v>-82.9080405282415</c:v>
                </c:pt>
                <c:pt idx="486">
                  <c:v>-83.0672952305083</c:v>
                </c:pt>
                <c:pt idx="487">
                  <c:v>-83.2230682003089</c:v>
                </c:pt>
                <c:pt idx="488">
                  <c:v>-83.375429340855</c:v>
                </c:pt>
                <c:pt idx="489">
                  <c:v>-83.5244475651356</c:v>
                </c:pt>
                <c:pt idx="490">
                  <c:v>-83.6701907807956</c:v>
                </c:pt>
                <c:pt idx="491">
                  <c:v>-83.8127258776152</c:v>
                </c:pt>
                <c:pt idx="492">
                  <c:v>-83.9521187174073</c:v>
                </c:pt>
                <c:pt idx="493">
                  <c:v>-84.0884341261602</c:v>
                </c:pt>
                <c:pt idx="494">
                  <c:v>-84.2217358882589</c:v>
                </c:pt>
                <c:pt idx="495">
                  <c:v>-84.3520867426333</c:v>
                </c:pt>
                <c:pt idx="496">
                  <c:v>-84.4795483806839</c:v>
                </c:pt>
                <c:pt idx="497">
                  <c:v>-84.6041814458493</c:v>
                </c:pt>
                <c:pt idx="498">
                  <c:v>-84.726045534685</c:v>
                </c:pt>
                <c:pt idx="499">
                  <c:v>-84.8451991993305</c:v>
                </c:pt>
                <c:pt idx="500">
                  <c:v>-84.9616999512512</c:v>
                </c:pt>
                <c:pt idx="501">
                  <c:v>-85.0756042661472</c:v>
                </c:pt>
                <c:pt idx="502">
                  <c:v>-85.1869675899263</c:v>
                </c:pt>
                <c:pt idx="503">
                  <c:v>-85.2958443456489</c:v>
                </c:pt>
                <c:pt idx="504">
                  <c:v>-85.4022879413538</c:v>
                </c:pt>
                <c:pt idx="505">
                  <c:v>-85.5063507786837</c:v>
                </c:pt>
                <c:pt idx="506">
                  <c:v>-85.608084262231</c:v>
                </c:pt>
                <c:pt idx="507">
                  <c:v>-85.707538809533</c:v>
                </c:pt>
                <c:pt idx="508">
                  <c:v>-85.8047638616484</c:v>
                </c:pt>
                <c:pt idx="509">
                  <c:v>-85.8998078942514</c:v>
                </c:pt>
                <c:pt idx="510">
                  <c:v>-85.9927184291851</c:v>
                </c:pt>
                <c:pt idx="511">
                  <c:v>-86.08354204642</c:v>
                </c:pt>
                <c:pt idx="512">
                  <c:v>-86.1723243963664</c:v>
                </c:pt>
                <c:pt idx="513">
                  <c:v>-86.259110212493</c:v>
                </c:pt>
                <c:pt idx="514">
                  <c:v>-86.343943324209</c:v>
                </c:pt>
                <c:pt idx="515">
                  <c:v>-86.426866669968</c:v>
                </c:pt>
                <c:pt idx="516">
                  <c:v>-86.5079223105571</c:v>
                </c:pt>
                <c:pt idx="517">
                  <c:v>-86.5871514425361</c:v>
                </c:pt>
                <c:pt idx="518">
                  <c:v>-86.6645944117938</c:v>
                </c:pt>
                <c:pt idx="519">
                  <c:v>-86.7402907271937</c:v>
                </c:pt>
                <c:pt idx="520">
                  <c:v>-86.8142790742798</c:v>
                </c:pt>
                <c:pt idx="521">
                  <c:v>-86.886597329019</c:v>
                </c:pt>
                <c:pt idx="522">
                  <c:v>-86.9572825715554</c:v>
                </c:pt>
                <c:pt idx="523">
                  <c:v>-87.0263710999575</c:v>
                </c:pt>
                <c:pt idx="524">
                  <c:v>-87.0938984439368</c:v>
                </c:pt>
                <c:pt idx="525">
                  <c:v>-87.1598993785208</c:v>
                </c:pt>
                <c:pt idx="526">
                  <c:v>-87.2244079376655</c:v>
                </c:pt>
                <c:pt idx="527">
                  <c:v>-87.28745742779</c:v>
                </c:pt>
                <c:pt idx="528">
                  <c:v>-87.349080441223</c:v>
                </c:pt>
                <c:pt idx="529">
                  <c:v>-87.4093088695466</c:v>
                </c:pt>
                <c:pt idx="530">
                  <c:v>-87.4681739168274</c:v>
                </c:pt>
                <c:pt idx="531">
                  <c:v>-87.5257061127258</c:v>
                </c:pt>
                <c:pt idx="532">
                  <c:v>-87.5819353254726</c:v>
                </c:pt>
                <c:pt idx="533">
                  <c:v>-87.6368907747081</c:v>
                </c:pt>
                <c:pt idx="534">
                  <c:v>-87.6906010441732</c:v>
                </c:pt>
                <c:pt idx="535">
                  <c:v>-87.7430940942497</c:v>
                </c:pt>
                <c:pt idx="536">
                  <c:v>-87.7943972743409</c:v>
                </c:pt>
                <c:pt idx="537">
                  <c:v>-87.8445373350916</c:v>
                </c:pt>
                <c:pt idx="538">
                  <c:v>-87.8935404404395</c:v>
                </c:pt>
                <c:pt idx="539">
                  <c:v>-87.9414321794977</c:v>
                </c:pt>
                <c:pt idx="540">
                  <c:v>-87.9882375782633</c:v>
                </c:pt>
                <c:pt idx="541">
                  <c:v>-88.033981111151</c:v>
                </c:pt>
              </c:numCache>
            </c:numRef>
          </c:yVal>
          <c:smooth val="1"/>
        </c:ser>
        <c:dLbls>
          <c:showLegendKey val="0"/>
          <c:showVal val="0"/>
          <c:showCatName val="0"/>
          <c:showSerName val="0"/>
          <c:showPercent val="0"/>
          <c:showBubbleSize val="0"/>
        </c:dLbls>
        <c:axId val="178862336"/>
        <c:axId val="178860800"/>
      </c:scatterChart>
      <c:valAx>
        <c:axId val="178856704"/>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8624"/>
        <c:crosses val="autoZero"/>
        <c:crossBetween val="midCat"/>
      </c:valAx>
      <c:valAx>
        <c:axId val="178858624"/>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Gain</a:t>
                </a:r>
                <a:r>
                  <a:rPr lang="en-US" baseline="0"/>
                  <a:t> (dB)</a:t>
                </a:r>
                <a:endParaRPr lang="en-US"/>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56704"/>
        <c:crosses val="autoZero"/>
        <c:crossBetween val="midCat"/>
        <c:majorUnit val="20"/>
        <c:minorUnit val="10"/>
      </c:valAx>
      <c:valAx>
        <c:axId val="17886233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0800"/>
        <c:crosses val="autoZero"/>
        <c:crossBetween val="midCat"/>
      </c:valAx>
      <c:valAx>
        <c:axId val="178860800"/>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862336"/>
        <c:crosses val="max"/>
        <c:crossBetween val="midCat"/>
        <c:majorUnit val="90"/>
        <c:minorUnit val="45"/>
      </c:valAx>
    </c:plotArea>
    <c:legend>
      <c:legendPos val="r"/>
      <c:layout>
        <c:manualLayout>
          <c:xMode val="edge"/>
          <c:yMode val="edge"/>
          <c:x val="0.798805582095125"/>
          <c:y val="0.14321997959862"/>
          <c:w val="0.134594492760573"/>
          <c:h val="0.106916098611994"/>
        </c:manualLayout>
      </c:layout>
      <c:overlay val="1"/>
      <c:spPr>
        <a:solidFill>
          <a:schemeClr val="bg1"/>
        </a:solidFill>
      </c:spPr>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642237c-f052-44fa-acdb-ac797fb65b45}"/>
      </c:ext>
    </c:extLst>
  </c:chart>
  <c:txPr>
    <a:bodyPr/>
    <a:lstStyle/>
    <a:p>
      <a:pPr>
        <a:defRPr lang="pl-PL"/>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DCM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Loop_Modeling!$BJ$19:$BJ$560</c:f>
              <c:numCache>
                <c:formatCode>0.000</c:formatCode>
                <c:ptCount val="542"/>
                <c:pt idx="0">
                  <c:v>64.806385552938</c:v>
                </c:pt>
                <c:pt idx="1">
                  <c:v>64.605712765433</c:v>
                </c:pt>
                <c:pt idx="2">
                  <c:v>64.4050084670235</c:v>
                </c:pt>
                <c:pt idx="3">
                  <c:v>64.204271191511</c:v>
                </c:pt>
                <c:pt idx="4">
                  <c:v>64.0034994054026</c:v>
                </c:pt>
                <c:pt idx="5">
                  <c:v>63.8026915049101</c:v>
                </c:pt>
                <c:pt idx="6">
                  <c:v>63.6018458128268</c:v>
                </c:pt>
                <c:pt idx="7">
                  <c:v>63.4009605752729</c:v>
                </c:pt>
                <c:pt idx="8">
                  <c:v>63.2000339583065</c:v>
                </c:pt>
                <c:pt idx="9">
                  <c:v>62.9990640443987</c:v>
                </c:pt>
                <c:pt idx="10">
                  <c:v>62.7980488287626</c:v>
                </c:pt>
                <c:pt idx="11">
                  <c:v>62.596986215537</c:v>
                </c:pt>
                <c:pt idx="12">
                  <c:v>62.3958740138178</c:v>
                </c:pt>
                <c:pt idx="13">
                  <c:v>62.1947099335308</c:v>
                </c:pt>
                <c:pt idx="14">
                  <c:v>61.9934915811459</c:v>
                </c:pt>
                <c:pt idx="15">
                  <c:v>61.7922164552228</c:v>
                </c:pt>
                <c:pt idx="16">
                  <c:v>61.5908819417886</c:v>
                </c:pt>
                <c:pt idx="17">
                  <c:v>61.3894853095392</c:v>
                </c:pt>
                <c:pt idx="18">
                  <c:v>61.188023704862</c:v>
                </c:pt>
                <c:pt idx="19">
                  <c:v>60.9864941466757</c:v>
                </c:pt>
                <c:pt idx="20">
                  <c:v>60.784893521083</c:v>
                </c:pt>
                <c:pt idx="21">
                  <c:v>60.583218575832</c:v>
                </c:pt>
                <c:pt idx="22">
                  <c:v>60.3814659145838</c:v>
                </c:pt>
                <c:pt idx="23">
                  <c:v>60.1796319909823</c:v>
                </c:pt>
                <c:pt idx="24">
                  <c:v>59.9777131025244</c:v>
                </c:pt>
                <c:pt idx="25">
                  <c:v>59.7757053842269</c:v>
                </c:pt>
                <c:pt idx="26">
                  <c:v>59.5736048020898</c:v>
                </c:pt>
                <c:pt idx="27">
                  <c:v>59.3714071463543</c:v>
                </c:pt>
                <c:pt idx="28">
                  <c:v>59.169108024553</c:v>
                </c:pt>
                <c:pt idx="29">
                  <c:v>58.9667028543568</c:v>
                </c:pt>
                <c:pt idx="30">
                  <c:v>58.7641868562139</c:v>
                </c:pt>
                <c:pt idx="31">
                  <c:v>58.5615550457885</c:v>
                </c:pt>
                <c:pt idx="32">
                  <c:v>58.3588022261971</c:v>
                </c:pt>
                <c:pt idx="33">
                  <c:v>58.1559229800502</c:v>
                </c:pt>
                <c:pt idx="34">
                  <c:v>57.9529116613027</c:v>
                </c:pt>
                <c:pt idx="35">
                  <c:v>57.7497623869211</c:v>
                </c:pt>
                <c:pt idx="36">
                  <c:v>57.5464690283747</c:v>
                </c:pt>
                <c:pt idx="37">
                  <c:v>57.3430252029621</c:v>
                </c:pt>
                <c:pt idx="38">
                  <c:v>57.1394242649844</c:v>
                </c:pt>
                <c:pt idx="39">
                  <c:v>56.935659296779</c:v>
                </c:pt>
                <c:pt idx="40">
                  <c:v>56.7317230996314</c:v>
                </c:pt>
                <c:pt idx="41">
                  <c:v>56.5276081845822</c:v>
                </c:pt>
                <c:pt idx="42">
                  <c:v>56.3233067631533</c:v>
                </c:pt>
                <c:pt idx="43">
                  <c:v>56.1188107380148</c:v>
                </c:pt>
                <c:pt idx="44">
                  <c:v>55.9141116936226</c:v>
                </c:pt>
                <c:pt idx="45">
                  <c:v>55.7092008868571</c:v>
                </c:pt>
                <c:pt idx="46">
                  <c:v>55.5040692376967</c:v>
                </c:pt>
                <c:pt idx="47">
                  <c:v>55.2987073199659</c:v>
                </c:pt>
                <c:pt idx="48">
                  <c:v>55.0931053522006</c:v>
                </c:pt>
                <c:pt idx="49">
                  <c:v>54.887253188677</c:v>
                </c:pt>
                <c:pt idx="50">
                  <c:v>54.6811403106574</c:v>
                </c:pt>
                <c:pt idx="51">
                  <c:v>54.474755817909</c:v>
                </c:pt>
                <c:pt idx="52">
                  <c:v>54.2680884205585</c:v>
                </c:pt>
                <c:pt idx="53">
                  <c:v>54.0611264313509</c:v>
                </c:pt>
                <c:pt idx="54">
                  <c:v>53.8538577583853</c:v>
                </c:pt>
                <c:pt idx="55">
                  <c:v>53.6462698984096</c:v>
                </c:pt>
                <c:pt idx="56">
                  <c:v>53.4383499307586</c:v>
                </c:pt>
                <c:pt idx="57">
                  <c:v>53.2300845120308</c:v>
                </c:pt>
                <c:pt idx="58">
                  <c:v>53.0214598716016</c:v>
                </c:pt>
                <c:pt idx="59">
                  <c:v>52.8124618080819</c:v>
                </c:pt>
                <c:pt idx="60">
                  <c:v>52.6030756868358</c:v>
                </c:pt>
                <c:pt idx="61">
                  <c:v>52.3932864386775</c:v>
                </c:pt>
                <c:pt idx="62">
                  <c:v>52.1830785598784</c:v>
                </c:pt>
                <c:pt idx="63">
                  <c:v>51.9724361136174</c:v>
                </c:pt>
                <c:pt idx="64">
                  <c:v>51.7613427330208</c:v>
                </c:pt>
                <c:pt idx="65">
                  <c:v>51.5497816259374</c:v>
                </c:pt>
                <c:pt idx="66">
                  <c:v>51.3377355816091</c:v>
                </c:pt>
                <c:pt idx="67">
                  <c:v>51.1251869793958</c:v>
                </c:pt>
                <c:pt idx="68">
                  <c:v>50.9121177997256</c:v>
                </c:pt>
                <c:pt idx="69">
                  <c:v>50.69850963744</c:v>
                </c:pt>
                <c:pt idx="70">
                  <c:v>50.484343717713</c:v>
                </c:pt>
                <c:pt idx="71">
                  <c:v>50.2696009147218</c:v>
                </c:pt>
                <c:pt idx="72">
                  <c:v>50.0542617732516</c:v>
                </c:pt>
                <c:pt idx="73">
                  <c:v>49.8383065334148</c:v>
                </c:pt>
                <c:pt idx="74">
                  <c:v>49.6217151586655</c:v>
                </c:pt>
                <c:pt idx="75">
                  <c:v>49.4044673672851</c:v>
                </c:pt>
                <c:pt idx="76">
                  <c:v>49.1865426675129</c:v>
                </c:pt>
                <c:pt idx="77">
                  <c:v>48.9679203964825</c:v>
                </c:pt>
                <c:pt idx="78">
                  <c:v>48.7485797631223</c:v>
                </c:pt>
                <c:pt idx="79">
                  <c:v>48.5284998951582</c:v>
                </c:pt>
                <c:pt idx="80">
                  <c:v>48.3076598903472</c:v>
                </c:pt>
                <c:pt idx="81">
                  <c:v>48.0860388720474</c:v>
                </c:pt>
                <c:pt idx="82">
                  <c:v>47.8636160492123</c:v>
                </c:pt>
                <c:pt idx="83">
                  <c:v>47.6403707808653</c:v>
                </c:pt>
                <c:pt idx="84">
                  <c:v>47.4162826450903</c:v>
                </c:pt>
                <c:pt idx="85">
                  <c:v>47.1913315125328</c:v>
                </c:pt>
                <c:pt idx="86">
                  <c:v>46.9654976243754</c:v>
                </c:pt>
                <c:pt idx="87">
                  <c:v>46.7387616747083</c:v>
                </c:pt>
                <c:pt idx="88">
                  <c:v>46.5111048971743</c:v>
                </c:pt>
                <c:pt idx="89">
                  <c:v>46.2825091557166</c:v>
                </c:pt>
                <c:pt idx="90">
                  <c:v>46.052957039213</c:v>
                </c:pt>
                <c:pt idx="91">
                  <c:v>45.8224319597199</c:v>
                </c:pt>
                <c:pt idx="92">
                  <c:v>45.5909182540003</c:v>
                </c:pt>
                <c:pt idx="93">
                  <c:v>45.3584012879448</c:v>
                </c:pt>
                <c:pt idx="94">
                  <c:v>45.1248675634419</c:v>
                </c:pt>
                <c:pt idx="95">
                  <c:v>44.8903048271881</c:v>
                </c:pt>
                <c:pt idx="96">
                  <c:v>44.6547021808693</c:v>
                </c:pt>
                <c:pt idx="97">
                  <c:v>44.4180501920866</c:v>
                </c:pt>
                <c:pt idx="98">
                  <c:v>44.1803410053387</c:v>
                </c:pt>
                <c:pt idx="99">
                  <c:v>43.9415684523184</c:v>
                </c:pt>
                <c:pt idx="100">
                  <c:v>43.7017281607293</c:v>
                </c:pt>
                <c:pt idx="101">
                  <c:v>43.4608176607798</c:v>
                </c:pt>
                <c:pt idx="102">
                  <c:v>43.2188364884724</c:v>
                </c:pt>
                <c:pt idx="103">
                  <c:v>42.9757862847674</c:v>
                </c:pt>
                <c:pt idx="104">
                  <c:v>42.7316708896789</c:v>
                </c:pt>
                <c:pt idx="105">
                  <c:v>42.4864964303382</c:v>
                </c:pt>
                <c:pt idx="106">
                  <c:v>42.2402714020559</c:v>
                </c:pt>
                <c:pt idx="107">
                  <c:v>41.9930067414144</c:v>
                </c:pt>
                <c:pt idx="108">
                  <c:v>41.7447158904372</c:v>
                </c:pt>
                <c:pt idx="109">
                  <c:v>41.4954148509119</c:v>
                </c:pt>
                <c:pt idx="110">
                  <c:v>41.2451222279771</c:v>
                </c:pt>
                <c:pt idx="111">
                  <c:v>40.9938592621394</c:v>
                </c:pt>
                <c:pt idx="112">
                  <c:v>40.7416498489511</c:v>
                </c:pt>
                <c:pt idx="113">
                  <c:v>40.488520545653</c:v>
                </c:pt>
                <c:pt idx="114">
                  <c:v>40.234500564182</c:v>
                </c:pt>
                <c:pt idx="115">
                  <c:v>39.9796217500344</c:v>
                </c:pt>
                <c:pt idx="116">
                  <c:v>39.7239185465991</c:v>
                </c:pt>
                <c:pt idx="117">
                  <c:v>39.4674279446809</c:v>
                </c:pt>
                <c:pt idx="118">
                  <c:v>39.210189417075</c:v>
                </c:pt>
                <c:pt idx="119">
                  <c:v>38.9522448381799</c:v>
                </c:pt>
                <c:pt idx="120">
                  <c:v>38.693638388781</c:v>
                </c:pt>
                <c:pt idx="121">
                  <c:v>38.4344164462734</c:v>
                </c:pt>
                <c:pt idx="122">
                  <c:v>38.1746274607444</c:v>
                </c:pt>
                <c:pt idx="123">
                  <c:v>37.9143218174696</c:v>
                </c:pt>
                <c:pt idx="124">
                  <c:v>37.6535516865253</c:v>
                </c:pt>
                <c:pt idx="125">
                  <c:v>37.392370860346</c:v>
                </c:pt>
                <c:pt idx="126">
                  <c:v>37.1308345801929</c:v>
                </c:pt>
                <c:pt idx="127">
                  <c:v>36.8689993526116</c:v>
                </c:pt>
                <c:pt idx="128">
                  <c:v>36.6069227570689</c:v>
                </c:pt>
                <c:pt idx="129">
                  <c:v>36.3446632460586</c:v>
                </c:pt>
                <c:pt idx="130">
                  <c:v>36.0822799390433</c:v>
                </c:pt>
                <c:pt idx="131">
                  <c:v>35.8198324116745</c:v>
                </c:pt>
                <c:pt idx="132">
                  <c:v>35.5573804817813</c:v>
                </c:pt>
                <c:pt idx="133">
                  <c:v>35.2949839936576</c:v>
                </c:pt>
                <c:pt idx="134">
                  <c:v>35.0327026021957</c:v>
                </c:pt>
                <c:pt idx="135">
                  <c:v>34.7705955584149</c:v>
                </c:pt>
                <c:pt idx="136">
                  <c:v>34.5087214979216</c:v>
                </c:pt>
                <c:pt idx="137">
                  <c:v>34.2471382337995</c:v>
                </c:pt>
                <c:pt idx="138">
                  <c:v>33.9859025553846</c:v>
                </c:pt>
                <c:pt idx="139">
                  <c:v>33.7250700343091</c:v>
                </c:pt>
                <c:pt idx="140">
                  <c:v>33.464694839121</c:v>
                </c:pt>
                <c:pt idx="141">
                  <c:v>33.2048295596917</c:v>
                </c:pt>
                <c:pt idx="142">
                  <c:v>32.9455250425146</c:v>
                </c:pt>
                <c:pt idx="143">
                  <c:v>32.6868302378843</c:v>
                </c:pt>
                <c:pt idx="144">
                  <c:v>32.4287920598162</c:v>
                </c:pt>
                <c:pt idx="145">
                  <c:v>32.1714552594347</c:v>
                </c:pt>
                <c:pt idx="146">
                  <c:v>31.9148623124163</c:v>
                </c:pt>
                <c:pt idx="147">
                  <c:v>31.6590533209374</c:v>
                </c:pt>
                <c:pt idx="148">
                  <c:v>31.4040659304264</c:v>
                </c:pt>
                <c:pt idx="149">
                  <c:v>31.14993526128</c:v>
                </c:pt>
                <c:pt idx="150">
                  <c:v>30.8966938555661</c:v>
                </c:pt>
                <c:pt idx="151">
                  <c:v>30.6443716385938</c:v>
                </c:pt>
                <c:pt idx="152">
                  <c:v>30.3929958951067</c:v>
                </c:pt>
                <c:pt idx="153">
                  <c:v>30.142591259731</c:v>
                </c:pt>
                <c:pt idx="154">
                  <c:v>29.8931797211986</c:v>
                </c:pt>
                <c:pt idx="155">
                  <c:v>29.6447806397603</c:v>
                </c:pt>
                <c:pt idx="156">
                  <c:v>29.3974107771162</c:v>
                </c:pt>
                <c:pt idx="157">
                  <c:v>29.1510843381073</c:v>
                </c:pt>
                <c:pt idx="158">
                  <c:v>28.9058130233479</c:v>
                </c:pt>
                <c:pt idx="159">
                  <c:v>28.6616060919216</c:v>
                </c:pt>
                <c:pt idx="160">
                  <c:v>28.4184704332239</c:v>
                </c:pt>
                <c:pt idx="161">
                  <c:v>28.176410647004</c:v>
                </c:pt>
                <c:pt idx="162">
                  <c:v>27.9354291306409</c:v>
                </c:pt>
                <c:pt idx="163">
                  <c:v>27.6955261726855</c:v>
                </c:pt>
                <c:pt idx="164">
                  <c:v>27.4567000517033</c:v>
                </c:pt>
                <c:pt idx="165">
                  <c:v>27.2189471394713</c:v>
                </c:pt>
                <c:pt idx="166">
                  <c:v>26.9822620076036</c:v>
                </c:pt>
                <c:pt idx="167">
                  <c:v>26.7466375367173</c:v>
                </c:pt>
                <c:pt idx="168">
                  <c:v>26.5120650272886</c:v>
                </c:pt>
                <c:pt idx="169">
                  <c:v>26.2785343113938</c:v>
                </c:pt>
                <c:pt idx="170">
                  <c:v>26.0460338645872</c:v>
                </c:pt>
                <c:pt idx="171">
                  <c:v>25.8145509172128</c:v>
                </c:pt>
                <c:pt idx="172">
                  <c:v>25.5840715645171</c:v>
                </c:pt>
                <c:pt idx="173">
                  <c:v>25.3545808749786</c:v>
                </c:pt>
                <c:pt idx="174">
                  <c:v>25.1260629963383</c:v>
                </c:pt>
                <c:pt idx="175">
                  <c:v>24.8985012588728</c:v>
                </c:pt>
                <c:pt idx="176">
                  <c:v>24.6718782755109</c:v>
                </c:pt>
                <c:pt idx="177">
                  <c:v>24.4461760384563</c:v>
                </c:pt>
                <c:pt idx="178">
                  <c:v>24.221376012032</c:v>
                </c:pt>
                <c:pt idx="179">
                  <c:v>23.9974592215188</c:v>
                </c:pt>
                <c:pt idx="180">
                  <c:v>23.7744063378101</c:v>
                </c:pt>
                <c:pt idx="181">
                  <c:v>23.5521977577536</c:v>
                </c:pt>
                <c:pt idx="182">
                  <c:v>23.3308136800954</c:v>
                </c:pt>
                <c:pt idx="183">
                  <c:v>23.1102341769811</c:v>
                </c:pt>
                <c:pt idx="184">
                  <c:v>22.8904392610097</c:v>
                </c:pt>
                <c:pt idx="185">
                  <c:v>22.6714089478639</c:v>
                </c:pt>
                <c:pt idx="186">
                  <c:v>22.4531233145764</c:v>
                </c:pt>
                <c:pt idx="187">
                  <c:v>22.2355625535129</c:v>
                </c:pt>
                <c:pt idx="188">
                  <c:v>22.0187070221784</c:v>
                </c:pt>
                <c:pt idx="189">
                  <c:v>21.8025372889714</c:v>
                </c:pt>
                <c:pt idx="190">
                  <c:v>21.5870341750269</c:v>
                </c:pt>
                <c:pt idx="191">
                  <c:v>21.3721787923031</c:v>
                </c:pt>
                <c:pt idx="192">
                  <c:v>21.1579525780768</c:v>
                </c:pt>
                <c:pt idx="193">
                  <c:v>20.9443373260191</c:v>
                </c:pt>
                <c:pt idx="194">
                  <c:v>20.7313152140314</c:v>
                </c:pt>
                <c:pt idx="195">
                  <c:v>20.5188688290232</c:v>
                </c:pt>
                <c:pt idx="196">
                  <c:v>20.3069811888142</c:v>
                </c:pt>
                <c:pt idx="197">
                  <c:v>20.0956357613467</c:v>
                </c:pt>
                <c:pt idx="198">
                  <c:v>19.8848164813874</c:v>
                </c:pt>
                <c:pt idx="199">
                  <c:v>19.6745077649012</c:v>
                </c:pt>
                <c:pt idx="200">
                  <c:v>19.4646945212695</c:v>
                </c:pt>
                <c:pt idx="201">
                  <c:v>19.2553621635255</c:v>
                </c:pt>
                <c:pt idx="202">
                  <c:v>19.0464966167725</c:v>
                </c:pt>
                <c:pt idx="203">
                  <c:v>18.8380843249408</c:v>
                </c:pt>
                <c:pt idx="204">
                  <c:v>18.6301122560392</c:v>
                </c:pt>
                <c:pt idx="205">
                  <c:v>18.4225679060444</c:v>
                </c:pt>
                <c:pt idx="206">
                  <c:v>18.215439301567</c:v>
                </c:pt>
                <c:pt idx="207">
                  <c:v>18.0087150014236</c:v>
                </c:pt>
                <c:pt idx="208">
                  <c:v>17.8023840972383</c:v>
                </c:pt>
                <c:pt idx="209">
                  <c:v>17.5964362131893</c:v>
                </c:pt>
                <c:pt idx="210">
                  <c:v>17.3908615050062</c:v>
                </c:pt>
                <c:pt idx="211">
                  <c:v>17.185650658319</c:v>
                </c:pt>
                <c:pt idx="212">
                  <c:v>16.9807948864515</c:v>
                </c:pt>
                <c:pt idx="213">
                  <c:v>16.7762859277408</c:v>
                </c:pt>
                <c:pt idx="214">
                  <c:v>16.5721160424654</c:v>
                </c:pt>
                <c:pt idx="215">
                  <c:v>16.3682780094461</c:v>
                </c:pt>
                <c:pt idx="216">
                  <c:v>16.1647651223887</c:v>
                </c:pt>
                <c:pt idx="217">
                  <c:v>15.9615711860217</c:v>
                </c:pt>
                <c:pt idx="218">
                  <c:v>15.7586905120794</c:v>
                </c:pt>
                <c:pt idx="219">
                  <c:v>15.5561179151756</c:v>
                </c:pt>
                <c:pt idx="220">
                  <c:v>15.3538487086048</c:v>
                </c:pt>
                <c:pt idx="221">
                  <c:v>15.1518787000987</c:v>
                </c:pt>
                <c:pt idx="222">
                  <c:v>14.9502041875714</c:v>
                </c:pt>
                <c:pt idx="223">
                  <c:v>14.7488219548628</c:v>
                </c:pt>
                <c:pt idx="224">
                  <c:v>14.5477292675029</c:v>
                </c:pt>
                <c:pt idx="225">
                  <c:v>14.3469238685003</c:v>
                </c:pt>
                <c:pt idx="226">
                  <c:v>14.1464039741596</c:v>
                </c:pt>
                <c:pt idx="227">
                  <c:v>13.9461682699256</c:v>
                </c:pt>
                <c:pt idx="228">
                  <c:v>13.7462159062446</c:v>
                </c:pt>
                <c:pt idx="229">
                  <c:v>13.5465464944332</c:v>
                </c:pt>
                <c:pt idx="230">
                  <c:v>13.3471601025332</c:v>
                </c:pt>
                <c:pt idx="231">
                  <c:v>13.1480572511305</c:v>
                </c:pt>
                <c:pt idx="232">
                  <c:v>12.9492389091098</c:v>
                </c:pt>
                <c:pt idx="233">
                  <c:v>12.7507064893105</c:v>
                </c:pt>
                <c:pt idx="234">
                  <c:v>12.5524618440457</c:v>
                </c:pt>
                <c:pt idx="235">
                  <c:v>12.3545072604385</c:v>
                </c:pt>
                <c:pt idx="236">
                  <c:v>12.1568454555295</c:v>
                </c:pt>
                <c:pt idx="237">
                  <c:v>11.9594795710965</c:v>
                </c:pt>
                <c:pt idx="238">
                  <c:v>11.7624131681318</c:v>
                </c:pt>
                <c:pt idx="239">
                  <c:v>11.5656502209077</c:v>
                </c:pt>
                <c:pt idx="240">
                  <c:v>11.3691951105637</c:v>
                </c:pt>
                <c:pt idx="241">
                  <c:v>11.1730526181393</c:v>
                </c:pt>
                <c:pt idx="242">
                  <c:v>10.9772279169722</c:v>
                </c:pt>
                <c:pt idx="243">
                  <c:v>10.7817265643793</c:v>
                </c:pt>
                <c:pt idx="244">
                  <c:v>10.5865544925292</c:v>
                </c:pt>
                <c:pt idx="245">
                  <c:v>10.3917179984154</c:v>
                </c:pt>
                <c:pt idx="246">
                  <c:v>10.197223732832</c:v>
                </c:pt>
                <c:pt idx="247">
                  <c:v>10.0030786882505</c:v>
                </c:pt>
                <c:pt idx="248">
                  <c:v>9.80929018549661</c:v>
                </c:pt>
                <c:pt idx="249">
                  <c:v>9.61586585911844</c:v>
                </c:pt>
                <c:pt idx="250">
                  <c:v>9.42281364133936</c:v>
                </c:pt>
                <c:pt idx="251">
                  <c:v>9.2301417444879</c:v>
                </c:pt>
                <c:pt idx="252">
                  <c:v>9.03785864179271</c:v>
                </c:pt>
                <c:pt idx="253">
                  <c:v>8.84597304643927</c:v>
                </c:pt>
                <c:pt idx="254">
                  <c:v>8.65449388877772</c:v>
                </c:pt>
                <c:pt idx="255">
                  <c:v>8.46343029158473</c:v>
                </c:pt>
                <c:pt idx="256">
                  <c:v>8.27279154327683</c:v>
                </c:pt>
                <c:pt idx="257">
                  <c:v>8.08258706899078</c:v>
                </c:pt>
                <c:pt idx="258">
                  <c:v>7.89282639944277</c:v>
                </c:pt>
                <c:pt idx="259">
                  <c:v>7.70351913749975</c:v>
                </c:pt>
                <c:pt idx="260">
                  <c:v>7.51467492240003</c:v>
                </c:pt>
                <c:pt idx="261">
                  <c:v>7.32630339158009</c:v>
                </c:pt>
                <c:pt idx="262">
                  <c:v>7.13841414007948</c:v>
                </c:pt>
                <c:pt idx="263">
                  <c:v>6.95101667751493</c:v>
                </c:pt>
                <c:pt idx="264">
                  <c:v>6.76412038263775</c:v>
                </c:pt>
                <c:pt idx="265">
                  <c:v>6.57773445551168</c:v>
                </c:pt>
                <c:pt idx="266">
                  <c:v>6.39186786737629</c:v>
                </c:pt>
                <c:pt idx="267">
                  <c:v>6.20652930829034</c:v>
                </c:pt>
                <c:pt idx="268">
                  <c:v>6.02172713268131</c:v>
                </c:pt>
                <c:pt idx="269">
                  <c:v>5.83746930296079</c:v>
                </c:pt>
                <c:pt idx="270">
                  <c:v>5.65376333140469</c:v>
                </c:pt>
                <c:pt idx="271">
                  <c:v>5.47061622053</c:v>
                </c:pt>
                <c:pt idx="272">
                  <c:v>5.28803440224596</c:v>
                </c:pt>
                <c:pt idx="273">
                  <c:v>5.10602367609327</c:v>
                </c:pt>
                <c:pt idx="274">
                  <c:v>4.92458914692849</c:v>
                </c:pt>
                <c:pt idx="275">
                  <c:v>4.74373516245242</c:v>
                </c:pt>
                <c:pt idx="276">
                  <c:v>4.56346525102074</c:v>
                </c:pt>
                <c:pt idx="277">
                  <c:v>4.38378206021658</c:v>
                </c:pt>
                <c:pt idx="278">
                  <c:v>4.20468729669955</c:v>
                </c:pt>
                <c:pt idx="279">
                  <c:v>4.02618166788321</c:v>
                </c:pt>
                <c:pt idx="280">
                  <c:v>3.84826482602168</c:v>
                </c:pt>
                <c:pt idx="281">
                  <c:v>3.67093531531199</c:v>
                </c:pt>
                <c:pt idx="282">
                  <c:v>3.49419052264128</c:v>
                </c:pt>
                <c:pt idx="283">
                  <c:v>3.31802663261926</c:v>
                </c:pt>
                <c:pt idx="284">
                  <c:v>3.14243858754522</c:v>
                </c:pt>
                <c:pt idx="285">
                  <c:v>2.96742005295492</c:v>
                </c:pt>
                <c:pt idx="286">
                  <c:v>2.79296338938528</c:v>
                </c:pt>
                <c:pt idx="287">
                  <c:v>2.6190596309716</c:v>
                </c:pt>
                <c:pt idx="288">
                  <c:v>2.44569847146403</c:v>
                </c:pt>
                <c:pt idx="289">
                  <c:v>2.27286825820947</c:v>
                </c:pt>
                <c:pt idx="290">
                  <c:v>2.10055599459381</c:v>
                </c:pt>
                <c:pt idx="291">
                  <c:v>1.92874735138027</c:v>
                </c:pt>
                <c:pt idx="292">
                  <c:v>1.75742668730453</c:v>
                </c:pt>
                <c:pt idx="293">
                  <c:v>1.58657707921428</c:v>
                </c:pt>
                <c:pt idx="294">
                  <c:v>1.41618036194336</c:v>
                </c:pt>
                <c:pt idx="295">
                  <c:v>1.2462171780212</c:v>
                </c:pt>
                <c:pt idx="296">
                  <c:v>1.07666703721232</c:v>
                </c:pt>
                <c:pt idx="297">
                  <c:v>0.907508385772843</c:v>
                </c:pt>
                <c:pt idx="298">
                  <c:v>0.738718685201655</c:v>
                </c:pt>
                <c:pt idx="299">
                  <c:v>0.570274500152515</c:v>
                </c:pt>
                <c:pt idx="300">
                  <c:v>0.402151595058007</c:v>
                </c:pt>
                <c:pt idx="301">
                  <c:v>0.234325038914602</c:v>
                </c:pt>
                <c:pt idx="302">
                  <c:v>0.0667693175676329</c:v>
                </c:pt>
                <c:pt idx="303">
                  <c:v>-0.100541547259031</c:v>
                </c:pt>
                <c:pt idx="304">
                  <c:v>-0.267633873031397</c:v>
                </c:pt>
                <c:pt idx="305">
                  <c:v>-0.434534186495051</c:v>
                </c:pt>
                <c:pt idx="306">
                  <c:v>-0.601269089772039</c:v>
                </c:pt>
                <c:pt idx="307">
                  <c:v>-0.767865123506733</c:v>
                </c:pt>
                <c:pt idx="308">
                  <c:v>-0.934348628137154</c:v>
                </c:pt>
                <c:pt idx="309">
                  <c:v>-1.10074560439129</c:v>
                </c:pt>
                <c:pt idx="310">
                  <c:v>-1.26708157411522</c:v>
                </c:pt>
                <c:pt idx="311">
                  <c:v>-1.43338144252948</c:v>
                </c:pt>
                <c:pt idx="312">
                  <c:v>-1.59966936298576</c:v>
                </c:pt>
                <c:pt idx="313">
                  <c:v>-1.7659686052524</c:v>
                </c:pt>
                <c:pt idx="314">
                  <c:v>-1.93230142830784</c:v>
                </c:pt>
                <c:pt idx="315">
                  <c:v>-2.09868895854723</c:v>
                </c:pt>
                <c:pt idx="316">
                  <c:v>-2.26515107423233</c:v>
                </c:pt>
                <c:pt idx="317">
                  <c:v>-2.43170629692362</c:v>
                </c:pt>
                <c:pt idx="318">
                  <c:v>-2.59837169053412</c:v>
                </c:pt>
                <c:pt idx="319">
                  <c:v>-2.76516276854472</c:v>
                </c:pt>
                <c:pt idx="320">
                  <c:v>-2.93209340980976</c:v>
                </c:pt>
                <c:pt idx="321">
                  <c:v>-3.09917578327287</c:v>
                </c:pt>
                <c:pt idx="322">
                  <c:v>-3.26642028180185</c:v>
                </c:pt>
                <c:pt idx="323">
                  <c:v>-3.43383546524859</c:v>
                </c:pt>
                <c:pt idx="324">
                  <c:v>-3.60142801272695</c:v>
                </c:pt>
                <c:pt idx="325">
                  <c:v>-3.76920268401361</c:v>
                </c:pt>
                <c:pt idx="326">
                  <c:v>-3.93716228987462</c:v>
                </c:pt>
                <c:pt idx="327">
                  <c:v>-4.1053076710456</c:v>
                </c:pt>
                <c:pt idx="328">
                  <c:v>-4.27363768551334</c:v>
                </c:pt>
                <c:pt idx="329">
                  <c:v>-4.4421492036836</c:v>
                </c:pt>
                <c:pt idx="330">
                  <c:v>-4.61083711096645</c:v>
                </c:pt>
                <c:pt idx="331">
                  <c:v>-4.77969431726401</c:v>
                </c:pt>
                <c:pt idx="332">
                  <c:v>-4.94871177281785</c:v>
                </c:pt>
                <c:pt idx="333">
                  <c:v>-5.11787848984328</c:v>
                </c:pt>
                <c:pt idx="334">
                  <c:v>-5.28718156937243</c:v>
                </c:pt>
                <c:pt idx="335">
                  <c:v>-5.45660623272189</c:v>
                </c:pt>
                <c:pt idx="336">
                  <c:v>-5.62613585700648</c:v>
                </c:pt>
                <c:pt idx="337">
                  <c:v>-5.79575201413983</c:v>
                </c:pt>
                <c:pt idx="338">
                  <c:v>-5.96543451277792</c:v>
                </c:pt>
                <c:pt idx="339">
                  <c:v>-6.13516144269888</c:v>
                </c:pt>
                <c:pt idx="340">
                  <c:v>-6.30490922113817</c:v>
                </c:pt>
                <c:pt idx="341">
                  <c:v>-6.47465264064461</c:v>
                </c:pt>
                <c:pt idx="342">
                  <c:v>-6.64436491806199</c:v>
                </c:pt>
                <c:pt idx="343">
                  <c:v>-6.81401774428753</c:v>
                </c:pt>
                <c:pt idx="344">
                  <c:v>-6.98358133450783</c:v>
                </c:pt>
                <c:pt idx="345">
                  <c:v>-7.15302447865915</c:v>
                </c:pt>
                <c:pt idx="346">
                  <c:v>-7.32231459191305</c:v>
                </c:pt>
                <c:pt idx="347">
                  <c:v>-7.49141776503256</c:v>
                </c:pt>
                <c:pt idx="348">
                  <c:v>-7.66029881449695</c:v>
                </c:pt>
                <c:pt idx="349">
                  <c:v>-7.82892133233816</c:v>
                </c:pt>
                <c:pt idx="350">
                  <c:v>-7.99724773567672</c:v>
                </c:pt>
                <c:pt idx="351">
                  <c:v>-8.16523931598918</c:v>
                </c:pt>
                <c:pt idx="352">
                  <c:v>-8.33285628817832</c:v>
                </c:pt>
                <c:pt idx="353">
                  <c:v>-8.50005783955343</c:v>
                </c:pt>
                <c:pt idx="354">
                  <c:v>-8.66680217886332</c:v>
                </c:pt>
                <c:pt idx="355">
                  <c:v>-8.83304658555187</c:v>
                </c:pt>
                <c:pt idx="356">
                  <c:v>-8.99874745943527</c:v>
                </c:pt>
                <c:pt idx="357">
                  <c:v>-9.16386037101761</c:v>
                </c:pt>
                <c:pt idx="358">
                  <c:v>-9.32834011268408</c:v>
                </c:pt>
                <c:pt idx="359">
                  <c:v>-9.49214075101968</c:v>
                </c:pt>
                <c:pt idx="360">
                  <c:v>-9.65521568051391</c:v>
                </c:pt>
                <c:pt idx="361">
                  <c:v>-9.8175176789142</c:v>
                </c:pt>
                <c:pt idx="362">
                  <c:v>-9.97899896449174</c:v>
                </c:pt>
                <c:pt idx="363">
                  <c:v>-10.1396112554775</c:v>
                </c:pt>
                <c:pt idx="364">
                  <c:v>-10.299305831918</c:v>
                </c:pt>
                <c:pt idx="365">
                  <c:v>-10.4580336001851</c:v>
                </c:pt>
                <c:pt idx="366">
                  <c:v>-10.6157451603564</c:v>
                </c:pt>
                <c:pt idx="367">
                  <c:v>-10.7723908766581</c:v>
                </c:pt>
                <c:pt idx="368">
                  <c:v>-10.9279209511348</c:v>
                </c:pt>
                <c:pt idx="369">
                  <c:v>-11.082285500679</c:v>
                </c:pt>
                <c:pt idx="370">
                  <c:v>-11.2354346375152</c:v>
                </c:pt>
                <c:pt idx="371">
                  <c:v>-11.3873185531937</c:v>
                </c:pt>
                <c:pt idx="372">
                  <c:v>-11.5378876061042</c:v>
                </c:pt>
                <c:pt idx="373">
                  <c:v>-11.6870924124728</c:v>
                </c:pt>
                <c:pt idx="374">
                  <c:v>-11.8348839407529</c:v>
                </c:pt>
                <c:pt idx="375">
                  <c:v>-11.9812136092697</c:v>
                </c:pt>
                <c:pt idx="376">
                  <c:v>-12.1260333869218</c:v>
                </c:pt>
                <c:pt idx="377">
                  <c:v>-12.2692958966846</c:v>
                </c:pt>
                <c:pt idx="378">
                  <c:v>-12.4109545216081</c:v>
                </c:pt>
                <c:pt idx="379">
                  <c:v>-12.5509635129388</c:v>
                </c:pt>
                <c:pt idx="380">
                  <c:v>-12.6892780999436</c:v>
                </c:pt>
                <c:pt idx="381">
                  <c:v>-12.8258546009561</c:v>
                </c:pt>
                <c:pt idx="382">
                  <c:v>-12.9606505351169</c:v>
                </c:pt>
                <c:pt idx="383">
                  <c:v>-13.0936247342275</c:v>
                </c:pt>
                <c:pt idx="384">
                  <c:v>-13.2247374540998</c:v>
                </c:pt>
                <c:pt idx="385">
                  <c:v>-13.3539504847371</c:v>
                </c:pt>
                <c:pt idx="386">
                  <c:v>-13.4812272586589</c:v>
                </c:pt>
                <c:pt idx="387">
                  <c:v>-13.606532956652</c:v>
                </c:pt>
                <c:pt idx="388">
                  <c:v>-13.7298346102151</c:v>
                </c:pt>
                <c:pt idx="389">
                  <c:v>-13.851101199957</c:v>
                </c:pt>
                <c:pt idx="390">
                  <c:v>-13.9703037492087</c:v>
                </c:pt>
                <c:pt idx="391">
                  <c:v>-14.0874154121205</c:v>
                </c:pt>
                <c:pt idx="392">
                  <c:v>-14.2024115555353</c:v>
                </c:pt>
                <c:pt idx="393">
                  <c:v>-14.3152698339594</c:v>
                </c:pt>
                <c:pt idx="394">
                  <c:v>-14.4259702569926</c:v>
                </c:pt>
                <c:pt idx="395">
                  <c:v>-14.5344952486265</c:v>
                </c:pt>
                <c:pt idx="396">
                  <c:v>-14.6408296978798</c:v>
                </c:pt>
                <c:pt idx="397">
                  <c:v>-14.7449610003043</c:v>
                </c:pt>
                <c:pt idx="398">
                  <c:v>-14.8468790899675</c:v>
                </c:pt>
                <c:pt idx="399">
                  <c:v>-14.9465764615995</c:v>
                </c:pt>
                <c:pt idx="400">
                  <c:v>-15.0440481826748</c:v>
                </c:pt>
                <c:pt idx="401">
                  <c:v>-15.1392918952867</c:v>
                </c:pt>
                <c:pt idx="402">
                  <c:v>-15.2323078077653</c:v>
                </c:pt>
                <c:pt idx="403">
                  <c:v>-15.3230986760804</c:v>
                </c:pt>
                <c:pt idx="404">
                  <c:v>-15.4116697751614</c:v>
                </c:pt>
                <c:pt idx="405">
                  <c:v>-15.4980288603559</c:v>
                </c:pt>
                <c:pt idx="406">
                  <c:v>-15.5821861193369</c:v>
                </c:pt>
                <c:pt idx="407">
                  <c:v>-15.6641541148459</c:v>
                </c:pt>
                <c:pt idx="408">
                  <c:v>-15.7439477187391</c:v>
                </c:pt>
                <c:pt idx="409">
                  <c:v>-15.8215840378731</c:v>
                </c:pt>
                <c:pt idx="410">
                  <c:v>-15.8970823324221</c:v>
                </c:pt>
                <c:pt idx="411">
                  <c:v>-15.9704639272809</c:v>
                </c:pt>
                <c:pt idx="412">
                  <c:v>-16.0417521172434</c:v>
                </c:pt>
                <c:pt idx="413">
                  <c:v>-16.1109720666869</c:v>
                </c:pt>
                <c:pt idx="414">
                  <c:v>-16.1781507045134</c:v>
                </c:pt>
                <c:pt idx="415">
                  <c:v>-16.2433166151191</c:v>
                </c:pt>
                <c:pt idx="416">
                  <c:v>-16.3064999261647</c:v>
                </c:pt>
                <c:pt idx="417">
                  <c:v>-16.3677321939207</c:v>
                </c:pt>
                <c:pt idx="418">
                  <c:v>-16.4270462869478</c:v>
                </c:pt>
                <c:pt idx="419">
                  <c:v>-16.4844762688539</c:v>
                </c:pt>
                <c:pt idx="420">
                  <c:v>-16.5400572808441</c:v>
                </c:pt>
                <c:pt idx="421">
                  <c:v>-16.593825424746</c:v>
                </c:pt>
                <c:pt idx="422">
                  <c:v>-16.6458176471533</c:v>
                </c:pt>
                <c:pt idx="423">
                  <c:v>-16.6960716252918</c:v>
                </c:pt>
                <c:pt idx="424">
                  <c:v>-16.7446256551587</c:v>
                </c:pt>
                <c:pt idx="425">
                  <c:v>-16.7915185424435</c:v>
                </c:pt>
                <c:pt idx="426">
                  <c:v>-16.8367894966814</c:v>
                </c:pt>
                <c:pt idx="427">
                  <c:v>-16.8804780290409</c:v>
                </c:pt>
                <c:pt idx="428">
                  <c:v>-16.922623854093</c:v>
                </c:pt>
                <c:pt idx="429">
                  <c:v>-16.9632667958561</c:v>
                </c:pt>
                <c:pt idx="430">
                  <c:v>-17.0024466983614</c:v>
                </c:pt>
                <c:pt idx="431">
                  <c:v>-17.0402033409288</c:v>
                </c:pt>
                <c:pt idx="432">
                  <c:v>-17.0765763583016</c:v>
                </c:pt>
                <c:pt idx="433">
                  <c:v>-17.1116051657373</c:v>
                </c:pt>
                <c:pt idx="434">
                  <c:v>-17.1453288891113</c:v>
                </c:pt>
                <c:pt idx="435">
                  <c:v>-17.1777863000513</c:v>
                </c:pt>
                <c:pt idx="436">
                  <c:v>-17.2090157560827</c:v>
                </c:pt>
                <c:pt idx="437">
                  <c:v>-17.239055145733</c:v>
                </c:pt>
                <c:pt idx="438">
                  <c:v>-17.2679418385123</c:v>
                </c:pt>
                <c:pt idx="439">
                  <c:v>-17.2957126396634</c:v>
                </c:pt>
                <c:pt idx="440">
                  <c:v>-17.3224037495498</c:v>
                </c:pt>
                <c:pt idx="441">
                  <c:v>-17.3480507275308</c:v>
                </c:pt>
                <c:pt idx="442">
                  <c:v>-17.3726884601592</c:v>
                </c:pt>
                <c:pt idx="443">
                  <c:v>-17.3963511335184</c:v>
                </c:pt>
                <c:pt idx="444">
                  <c:v>-17.4190722095127</c:v>
                </c:pt>
                <c:pt idx="445">
                  <c:v>-17.4408844059074</c:v>
                </c:pt>
                <c:pt idx="446">
                  <c:v>-17.4618196799194</c:v>
                </c:pt>
                <c:pt idx="447">
                  <c:v>-17.4819092151486</c:v>
                </c:pt>
                <c:pt idx="448">
                  <c:v>-17.5011834116415</c:v>
                </c:pt>
                <c:pt idx="449">
                  <c:v>-17.5196718788817</c:v>
                </c:pt>
                <c:pt idx="450">
                  <c:v>-17.5374034314969</c:v>
                </c:pt>
                <c:pt idx="451">
                  <c:v>-17.5544060874844</c:v>
                </c:pt>
                <c:pt idx="452">
                  <c:v>-17.5707070687539</c:v>
                </c:pt>
                <c:pt idx="453">
                  <c:v>-17.5863328037968</c:v>
                </c:pt>
                <c:pt idx="454">
                  <c:v>-17.601308932295</c:v>
                </c:pt>
                <c:pt idx="455">
                  <c:v>-17.6156603114919</c:v>
                </c:pt>
                <c:pt idx="456">
                  <c:v>-17.6294110241517</c:v>
                </c:pt>
                <c:pt idx="457">
                  <c:v>-17.6425843879452</c:v>
                </c:pt>
                <c:pt idx="458">
                  <c:v>-17.6552029661075</c:v>
                </c:pt>
                <c:pt idx="459">
                  <c:v>-17.6672885792185</c:v>
                </c:pt>
                <c:pt idx="460">
                  <c:v>-17.6788623179706</c:v>
                </c:pt>
                <c:pt idx="461">
                  <c:v>-17.6899445567918</c:v>
                </c:pt>
                <c:pt idx="462">
                  <c:v>-17.7005549682029</c:v>
                </c:pt>
                <c:pt idx="463">
                  <c:v>-17.7107125377979</c:v>
                </c:pt>
                <c:pt idx="464">
                  <c:v>-17.7204355797381</c:v>
                </c:pt>
                <c:pt idx="465">
                  <c:v>-17.7297417526683</c:v>
                </c:pt>
                <c:pt idx="466">
                  <c:v>-17.7386480759597</c:v>
                </c:pt>
                <c:pt idx="467">
                  <c:v>-17.7471709462015</c:v>
                </c:pt>
                <c:pt idx="468">
                  <c:v>-17.7553261538631</c:v>
                </c:pt>
                <c:pt idx="469">
                  <c:v>-17.7631289000596</c:v>
                </c:pt>
                <c:pt idx="470">
                  <c:v>-17.7705938133573</c:v>
                </c:pt>
                <c:pt idx="471">
                  <c:v>-17.7777349665633</c:v>
                </c:pt>
                <c:pt idx="472">
                  <c:v>-17.784565893447</c:v>
                </c:pt>
                <c:pt idx="473">
                  <c:v>-17.7910996053506</c:v>
                </c:pt>
                <c:pt idx="474">
                  <c:v>-17.7973486076451</c:v>
                </c:pt>
                <c:pt idx="475">
                  <c:v>-17.8033249159969</c:v>
                </c:pt>
                <c:pt idx="476">
                  <c:v>-17.8090400724145</c:v>
                </c:pt>
                <c:pt idx="477">
                  <c:v>-17.8145051610458</c:v>
                </c:pt>
                <c:pt idx="478">
                  <c:v>-17.8197308237022</c:v>
                </c:pt>
                <c:pt idx="479">
                  <c:v>-17.824727275091</c:v>
                </c:pt>
                <c:pt idx="480">
                  <c:v>-17.8295043177358</c:v>
                </c:pt>
                <c:pt idx="481">
                  <c:v>-17.8340713565721</c:v>
                </c:pt>
                <c:pt idx="482">
                  <c:v>-17.8384374132064</c:v>
                </c:pt>
                <c:pt idx="483">
                  <c:v>-17.8426111398267</c:v>
                </c:pt>
                <c:pt idx="484">
                  <c:v>-17.8466008327622</c:v>
                </c:pt>
                <c:pt idx="485">
                  <c:v>-17.8504144456804</c:v>
                </c:pt>
                <c:pt idx="486">
                  <c:v>-17.8540596024238</c:v>
                </c:pt>
                <c:pt idx="487">
                  <c:v>-17.8575436094801</c:v>
                </c:pt>
                <c:pt idx="488">
                  <c:v>-17.860873468088</c:v>
                </c:pt>
                <c:pt idx="489">
                  <c:v>-17.8640558859787</c:v>
                </c:pt>
                <c:pt idx="490">
                  <c:v>-17.867097288754</c:v>
                </c:pt>
                <c:pt idx="491">
                  <c:v>-17.8700038309047</c:v>
                </c:pt>
                <c:pt idx="492">
                  <c:v>-17.8727814064751</c:v>
                </c:pt>
                <c:pt idx="493">
                  <c:v>-17.8754356593734</c:v>
                </c:pt>
                <c:pt idx="494">
                  <c:v>-17.8779719933387</c:v>
                </c:pt>
                <c:pt idx="495">
                  <c:v>-17.8803955815669</c:v>
                </c:pt>
                <c:pt idx="496">
                  <c:v>-17.8827113760032</c:v>
                </c:pt>
                <c:pt idx="497">
                  <c:v>-17.8849241163081</c:v>
                </c:pt>
                <c:pt idx="498">
                  <c:v>-17.887038338503</c:v>
                </c:pt>
                <c:pt idx="499">
                  <c:v>-17.8890583833048</c:v>
                </c:pt>
                <c:pt idx="500">
                  <c:v>-17.890988404155</c:v>
                </c:pt>
                <c:pt idx="501">
                  <c:v>-17.8928323749523</c:v>
                </c:pt>
                <c:pt idx="502">
                  <c:v>-17.8945940974966</c:v>
                </c:pt>
                <c:pt idx="503">
                  <c:v>-17.8962772086523</c:v>
                </c:pt>
                <c:pt idx="504">
                  <c:v>-17.8978851872384</c:v>
                </c:pt>
                <c:pt idx="505">
                  <c:v>-17.8994213606555</c:v>
                </c:pt>
                <c:pt idx="506">
                  <c:v>-17.9008889112536</c:v>
                </c:pt>
                <c:pt idx="507">
                  <c:v>-17.902290882455</c:v>
                </c:pt>
                <c:pt idx="508">
                  <c:v>-17.9036301846329</c:v>
                </c:pt>
                <c:pt idx="509">
                  <c:v>-17.9049096007605</c:v>
                </c:pt>
                <c:pt idx="510">
                  <c:v>-17.9061317918335</c:v>
                </c:pt>
                <c:pt idx="511">
                  <c:v>-17.9072993020753</c:v>
                </c:pt>
                <c:pt idx="512">
                  <c:v>-17.9084145639333</c:v>
                </c:pt>
                <c:pt idx="513">
                  <c:v>-17.909479902872</c:v>
                </c:pt>
                <c:pt idx="514">
                  <c:v>-17.910497541971</c:v>
                </c:pt>
                <c:pt idx="515">
                  <c:v>-17.9114696063355</c:v>
                </c:pt>
                <c:pt idx="516">
                  <c:v>-17.912398127324</c:v>
                </c:pt>
                <c:pt idx="517">
                  <c:v>-17.913285046603</c:v>
                </c:pt>
                <c:pt idx="518">
                  <c:v>-17.9141322200324</c:v>
                </c:pt>
                <c:pt idx="519">
                  <c:v>-17.9149414213896</c:v>
                </c:pt>
                <c:pt idx="520">
                  <c:v>-17.9157143459378</c:v>
                </c:pt>
                <c:pt idx="521">
                  <c:v>-17.9164526138447</c:v>
                </c:pt>
                <c:pt idx="522">
                  <c:v>-17.9171577734574</c:v>
                </c:pt>
                <c:pt idx="523">
                  <c:v>-17.9178313044391</c:v>
                </c:pt>
                <c:pt idx="524">
                  <c:v>-17.9184746207722</c:v>
                </c:pt>
                <c:pt idx="525">
                  <c:v>-17.9190890736348</c:v>
                </c:pt>
                <c:pt idx="526">
                  <c:v>-17.9196759541549</c:v>
                </c:pt>
                <c:pt idx="527">
                  <c:v>-17.9202364960456</c:v>
                </c:pt>
                <c:pt idx="528">
                  <c:v>-17.920771878129</c:v>
                </c:pt>
                <c:pt idx="529">
                  <c:v>-17.9212832267505</c:v>
                </c:pt>
                <c:pt idx="530">
                  <c:v>-17.921771618091</c:v>
                </c:pt>
                <c:pt idx="531">
                  <c:v>-17.922238080377</c:v>
                </c:pt>
                <c:pt idx="532">
                  <c:v>-17.9226835959982</c:v>
                </c:pt>
                <c:pt idx="533">
                  <c:v>-17.9231091035306</c:v>
                </c:pt>
                <c:pt idx="534">
                  <c:v>-17.9235154996742</c:v>
                </c:pt>
                <c:pt idx="535">
                  <c:v>-17.9239036411053</c:v>
                </c:pt>
                <c:pt idx="536">
                  <c:v>-17.9242743462484</c:v>
                </c:pt>
                <c:pt idx="537">
                  <c:v>-17.9246283969713</c:v>
                </c:pt>
                <c:pt idx="538">
                  <c:v>-17.924966540206</c:v>
                </c:pt>
                <c:pt idx="539">
                  <c:v>-17.9252894894987</c:v>
                </c:pt>
                <c:pt idx="540">
                  <c:v>-17.9255979264924</c:v>
                </c:pt>
                <c:pt idx="541">
                  <c:v>-17.9258925023435</c:v>
                </c:pt>
              </c:numCache>
            </c:numRef>
          </c:yVal>
          <c:smooth val="1"/>
        </c:ser>
        <c:dLbls>
          <c:showLegendKey val="0"/>
          <c:showVal val="0"/>
          <c:showCatName val="0"/>
          <c:showSerName val="0"/>
          <c:showPercent val="0"/>
          <c:showBubbleSize val="0"/>
        </c:dLbls>
        <c:axId val="178901376"/>
        <c:axId val="178903296"/>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Loop_Modeling!$BK$19:$BK$560</c:f>
              <c:numCache>
                <c:formatCode>General</c:formatCode>
                <c:ptCount val="542"/>
                <c:pt idx="0">
                  <c:v>88.172626514235</c:v>
                </c:pt>
                <c:pt idx="1">
                  <c:v>88.1303026666945</c:v>
                </c:pt>
                <c:pt idx="2">
                  <c:v>88.0870101407554</c:v>
                </c:pt>
                <c:pt idx="3">
                  <c:v>88.042727591783</c:v>
                </c:pt>
                <c:pt idx="4">
                  <c:v>87.9974332640078</c:v>
                </c:pt>
                <c:pt idx="5">
                  <c:v>87.9511049869666</c:v>
                </c:pt>
                <c:pt idx="6">
                  <c:v>87.9037201722761</c:v>
                </c:pt>
                <c:pt idx="7">
                  <c:v>87.8552558107724</c:v>
                </c:pt>
                <c:pt idx="8">
                  <c:v>87.8056884700551</c:v>
                </c:pt>
                <c:pt idx="9">
                  <c:v>87.7549942924768</c:v>
                </c:pt>
                <c:pt idx="10">
                  <c:v>87.7031489936216</c:v>
                </c:pt>
                <c:pt idx="11">
                  <c:v>87.6501278613182</c:v>
                </c:pt>
                <c:pt idx="12">
                  <c:v>87.5959057552396</c:v>
                </c:pt>
                <c:pt idx="13">
                  <c:v>87.5404571071406</c:v>
                </c:pt>
                <c:pt idx="14">
                  <c:v>87.483755921791</c:v>
                </c:pt>
                <c:pt idx="15">
                  <c:v>87.4257757786655</c:v>
                </c:pt>
                <c:pt idx="16">
                  <c:v>87.3664898344547</c:v>
                </c:pt>
                <c:pt idx="17">
                  <c:v>87.3058708264665</c:v>
                </c:pt>
                <c:pt idx="18">
                  <c:v>87.2438910769912</c:v>
                </c:pt>
                <c:pt idx="19">
                  <c:v>87.1805224987096</c:v>
                </c:pt>
                <c:pt idx="20">
                  <c:v>87.1157366012253</c:v>
                </c:pt>
                <c:pt idx="21">
                  <c:v>87.0495044988124</c:v>
                </c:pt>
                <c:pt idx="22">
                  <c:v>86.9817969194706</c:v>
                </c:pt>
                <c:pt idx="23">
                  <c:v>86.9125842153872</c:v>
                </c:pt>
                <c:pt idx="24">
                  <c:v>86.8418363749132</c:v>
                </c:pt>
                <c:pt idx="25">
                  <c:v>86.7695230361638</c:v>
                </c:pt>
                <c:pt idx="26">
                  <c:v>86.6956135023618</c:v>
                </c:pt>
                <c:pt idx="27">
                  <c:v>86.6200767590492</c:v>
                </c:pt>
                <c:pt idx="28">
                  <c:v>86.5428814932982</c:v>
                </c:pt>
                <c:pt idx="29">
                  <c:v>86.4639961150619</c:v>
                </c:pt>
                <c:pt idx="30">
                  <c:v>86.3833887808084</c:v>
                </c:pt>
                <c:pt idx="31">
                  <c:v>86.3010274195954</c:v>
                </c:pt>
                <c:pt idx="32">
                  <c:v>86.216879761745</c:v>
                </c:pt>
                <c:pt idx="33">
                  <c:v>86.1309133702883</c:v>
                </c:pt>
                <c:pt idx="34">
                  <c:v>86.0430956753582</c:v>
                </c:pt>
                <c:pt idx="35">
                  <c:v>85.9533940117154</c:v>
                </c:pt>
                <c:pt idx="36">
                  <c:v>85.8617756596028</c:v>
                </c:pt>
                <c:pt idx="37">
                  <c:v>85.7682078891275</c:v>
                </c:pt>
                <c:pt idx="38">
                  <c:v>85.6726580083845</c:v>
                </c:pt>
                <c:pt idx="39">
                  <c:v>85.5750934155361</c:v>
                </c:pt>
                <c:pt idx="40">
                  <c:v>85.4754816550761</c:v>
                </c:pt>
                <c:pt idx="41">
                  <c:v>85.3737904785101</c:v>
                </c:pt>
                <c:pt idx="42">
                  <c:v>85.2699879096929</c:v>
                </c:pt>
                <c:pt idx="43">
                  <c:v>85.1640423150703</c:v>
                </c:pt>
                <c:pt idx="44">
                  <c:v>85.0559224790774</c:v>
                </c:pt>
                <c:pt idx="45">
                  <c:v>84.9455976849516</c:v>
                </c:pt>
                <c:pt idx="46">
                  <c:v>84.8330378012235</c:v>
                </c:pt>
                <c:pt idx="47">
                  <c:v>84.7182133741488</c:v>
                </c:pt>
                <c:pt idx="48">
                  <c:v>84.6010957263519</c:v>
                </c:pt>
                <c:pt idx="49">
                  <c:v>84.4816570619442</c:v>
                </c:pt>
                <c:pt idx="50">
                  <c:v>84.3598705783885</c:v>
                </c:pt>
                <c:pt idx="51">
                  <c:v>84.2357105853679</c:v>
                </c:pt>
                <c:pt idx="52">
                  <c:v>84.1091526309194</c:v>
                </c:pt>
                <c:pt idx="53">
                  <c:v>83.9801736350806</c:v>
                </c:pt>
                <c:pt idx="54">
                  <c:v>83.8487520312878</c:v>
                </c:pt>
                <c:pt idx="55">
                  <c:v>83.7148679157504</c:v>
                </c:pt>
                <c:pt idx="56">
                  <c:v>83.5785032050082</c:v>
                </c:pt>
                <c:pt idx="57">
                  <c:v>83.4396418018574</c:v>
                </c:pt>
                <c:pt idx="58">
                  <c:v>83.2982697698057</c:v>
                </c:pt>
                <c:pt idx="59">
                  <c:v>83.1543755161855</c:v>
                </c:pt>
                <c:pt idx="60">
                  <c:v>83.0079499840209</c:v>
                </c:pt>
                <c:pt idx="61">
                  <c:v>82.8589868527018</c:v>
                </c:pt>
                <c:pt idx="62">
                  <c:v>82.7074827474731</c:v>
                </c:pt>
                <c:pt idx="63">
                  <c:v>82.5534374576928</c:v>
                </c:pt>
                <c:pt idx="64">
                  <c:v>82.3968541637575</c:v>
                </c:pt>
                <c:pt idx="65">
                  <c:v>82.2377396725197</c:v>
                </c:pt>
                <c:pt idx="66">
                  <c:v>82.0761046609557</c:v>
                </c:pt>
                <c:pt idx="67">
                  <c:v>81.9119639277576</c:v>
                </c:pt>
                <c:pt idx="68">
                  <c:v>81.7453366524323</c:v>
                </c:pt>
                <c:pt idx="69">
                  <c:v>81.5762466613949</c:v>
                </c:pt>
                <c:pt idx="70">
                  <c:v>81.404722700438</c:v>
                </c:pt>
                <c:pt idx="71">
                  <c:v>81.2307987128424</c:v>
                </c:pt>
                <c:pt idx="72">
                  <c:v>81.0545141222747</c:v>
                </c:pt>
                <c:pt idx="73">
                  <c:v>80.8759141194832</c:v>
                </c:pt>
                <c:pt idx="74">
                  <c:v>80.695049951669</c:v>
                </c:pt>
                <c:pt idx="75">
                  <c:v>80.5119792132609</c:v>
                </c:pt>
                <c:pt idx="76">
                  <c:v>80.3267661366713</c:v>
                </c:pt>
                <c:pt idx="77">
                  <c:v>80.1394818814528</c:v>
                </c:pt>
                <c:pt idx="78">
                  <c:v>79.9502048201119</c:v>
                </c:pt>
                <c:pt idx="79">
                  <c:v>79.7590208186716</c:v>
                </c:pt>
                <c:pt idx="80">
                  <c:v>79.566023509904</c:v>
                </c:pt>
                <c:pt idx="81">
                  <c:v>79.3713145569936</c:v>
                </c:pt>
                <c:pt idx="82">
                  <c:v>79.1750039052164</c:v>
                </c:pt>
                <c:pt idx="83">
                  <c:v>78.9772100190687</c:v>
                </c:pt>
                <c:pt idx="84">
                  <c:v>78.7780601021211</c:v>
                </c:pt>
                <c:pt idx="85">
                  <c:v>78.5776902967316</c:v>
                </c:pt>
                <c:pt idx="86">
                  <c:v>78.3762458606168</c:v>
                </c:pt>
                <c:pt idx="87">
                  <c:v>78.1738813171767</c:v>
                </c:pt>
                <c:pt idx="88">
                  <c:v>77.9707605763616</c:v>
                </c:pt>
                <c:pt idx="89">
                  <c:v>77.7670570228112</c:v>
                </c:pt>
                <c:pt idx="90">
                  <c:v>77.5629535679436</c:v>
                </c:pt>
                <c:pt idx="91">
                  <c:v>77.3586426626711</c:v>
                </c:pt>
                <c:pt idx="92">
                  <c:v>77.1543262674306</c:v>
                </c:pt>
                <c:pt idx="93">
                  <c:v>76.9502157762888</c:v>
                </c:pt>
                <c:pt idx="94">
                  <c:v>76.7465318919808</c:v>
                </c:pt>
                <c:pt idx="95">
                  <c:v>76.5435044488909</c:v>
                </c:pt>
                <c:pt idx="96">
                  <c:v>76.3413721811809</c:v>
                </c:pt>
                <c:pt idx="97">
                  <c:v>76.1403824335151</c:v>
                </c:pt>
                <c:pt idx="98">
                  <c:v>75.9407908121312</c:v>
                </c:pt>
                <c:pt idx="99">
                  <c:v>75.7428607743557</c:v>
                </c:pt>
                <c:pt idx="100">
                  <c:v>75.5468631550571</c:v>
                </c:pt>
                <c:pt idx="101">
                  <c:v>75.3530756289923</c:v>
                </c:pt>
                <c:pt idx="102">
                  <c:v>75.1617821084924</c:v>
                </c:pt>
                <c:pt idx="103">
                  <c:v>74.9732720764907</c:v>
                </c:pt>
                <c:pt idx="104">
                  <c:v>74.7878398554726</c:v>
                </c:pt>
                <c:pt idx="105">
                  <c:v>74.605783813567</c:v>
                </c:pt>
                <c:pt idx="106">
                  <c:v>74.4274055096454</c:v>
                </c:pt>
                <c:pt idx="107">
                  <c:v>74.2530087799727</c:v>
                </c:pt>
                <c:pt idx="108">
                  <c:v>74.082898769663</c:v>
                </c:pt>
                <c:pt idx="109">
                  <c:v>73.9173809128757</c:v>
                </c:pt>
                <c:pt idx="110">
                  <c:v>73.756759866402</c:v>
                </c:pt>
                <c:pt idx="111">
                  <c:v>73.6013384019627</c:v>
                </c:pt>
                <c:pt idx="112">
                  <c:v>73.4514162632116</c:v>
                </c:pt>
                <c:pt idx="113">
                  <c:v>73.3072889940432</c:v>
                </c:pt>
                <c:pt idx="114">
                  <c:v>73.1692467454072</c:v>
                </c:pt>
                <c:pt idx="115">
                  <c:v>73.0375730683269</c:v>
                </c:pt>
                <c:pt idx="116">
                  <c:v>72.9125437012953</c:v>
                </c:pt>
                <c:pt idx="117">
                  <c:v>72.7944253605842</c:v>
                </c:pt>
                <c:pt idx="118">
                  <c:v>72.6834745423037</c:v>
                </c:pt>
                <c:pt idx="119">
                  <c:v>72.5799363452516</c:v>
                </c:pt>
                <c:pt idx="120">
                  <c:v>72.484043323686</c:v>
                </c:pt>
                <c:pt idx="121">
                  <c:v>72.3960143791636</c:v>
                </c:pt>
                <c:pt idx="122">
                  <c:v>72.3160537004798</c:v>
                </c:pt>
                <c:pt idx="123">
                  <c:v>72.2443497605206</c:v>
                </c:pt>
                <c:pt idx="124">
                  <c:v>72.1810743785366</c:v>
                </c:pt>
                <c:pt idx="125">
                  <c:v>72.126381855904</c:v>
                </c:pt>
                <c:pt idx="126">
                  <c:v>72.0804081929244</c:v>
                </c:pt>
                <c:pt idx="127">
                  <c:v>72.0432703935846</c:v>
                </c:pt>
                <c:pt idx="128">
                  <c:v>72.0150658644859</c:v>
                </c:pt>
                <c:pt idx="129">
                  <c:v>71.9958719133685</c:v>
                </c:pt>
                <c:pt idx="130">
                  <c:v>71.9857453517783</c:v>
                </c:pt>
                <c:pt idx="131">
                  <c:v>71.984722205514</c:v>
                </c:pt>
                <c:pt idx="132">
                  <c:v>71.9928175355176</c:v>
                </c:pt>
                <c:pt idx="133">
                  <c:v>72.0100253708547</c:v>
                </c:pt>
                <c:pt idx="134">
                  <c:v>72.0363187544194</c:v>
                </c:pt>
                <c:pt idx="135">
                  <c:v>72.0716499009505</c:v>
                </c:pt>
                <c:pt idx="136">
                  <c:v>72.1159504659174</c:v>
                </c:pt>
                <c:pt idx="137">
                  <c:v>72.1691319228192</c:v>
                </c:pt>
                <c:pt idx="138">
                  <c:v>72.2310860454708</c:v>
                </c:pt>
                <c:pt idx="139">
                  <c:v>72.3016854908986</c:v>
                </c:pt>
                <c:pt idx="140">
                  <c:v>72.3807844776106</c:v>
                </c:pt>
                <c:pt idx="141">
                  <c:v>72.4682195531834</c:v>
                </c:pt>
                <c:pt idx="142">
                  <c:v>72.5638104443805</c:v>
                </c:pt>
                <c:pt idx="143">
                  <c:v>72.6673609823877</c:v>
                </c:pt>
                <c:pt idx="144">
                  <c:v>72.7786600951828</c:v>
                </c:pt>
                <c:pt idx="145">
                  <c:v>72.8974828586251</c:v>
                </c:pt>
                <c:pt idx="146">
                  <c:v>73.0235915975055</c:v>
                </c:pt>
                <c:pt idx="147">
                  <c:v>73.1567370275514</c:v>
                </c:pt>
                <c:pt idx="148">
                  <c:v>73.2966594292691</c:v>
                </c:pt>
                <c:pt idx="149">
                  <c:v>73.4430898444667</c:v>
                </c:pt>
                <c:pt idx="150">
                  <c:v>73.5957512863963</c:v>
                </c:pt>
                <c:pt idx="151">
                  <c:v>73.7543599546277</c:v>
                </c:pt>
                <c:pt idx="152">
                  <c:v>73.9186264460396</c:v>
                </c:pt>
                <c:pt idx="153">
                  <c:v>74.0882569536801</c:v>
                </c:pt>
                <c:pt idx="154">
                  <c:v>74.2629544456844</c:v>
                </c:pt>
                <c:pt idx="155">
                  <c:v>74.4424198169432</c:v>
                </c:pt>
                <c:pt idx="156">
                  <c:v>74.6263530067863</c:v>
                </c:pt>
                <c:pt idx="157">
                  <c:v>74.8144540765618</c:v>
                </c:pt>
                <c:pt idx="158">
                  <c:v>75.0064242416333</c:v>
                </c:pt>
                <c:pt idx="159">
                  <c:v>75.2019668530172</c:v>
                </c:pt>
                <c:pt idx="160">
                  <c:v>75.4007883245547</c:v>
                </c:pt>
                <c:pt idx="161">
                  <c:v>75.6025990022335</c:v>
                </c:pt>
                <c:pt idx="162">
                  <c:v>75.8071139729588</c:v>
                </c:pt>
                <c:pt idx="163">
                  <c:v>76.0140538107614</c:v>
                </c:pt>
                <c:pt idx="164">
                  <c:v>76.223145259095</c:v>
                </c:pt>
                <c:pt idx="165">
                  <c:v>76.434121848497</c:v>
                </c:pt>
                <c:pt idx="166">
                  <c:v>76.6467244494984</c:v>
                </c:pt>
                <c:pt idx="167">
                  <c:v>76.8607017612117</c:v>
                </c:pt>
                <c:pt idx="168">
                  <c:v>77.0758107365417</c:v>
                </c:pt>
                <c:pt idx="169">
                  <c:v>77.2918169454229</c:v>
                </c:pt>
                <c:pt idx="170">
                  <c:v>77.5084948779074</c:v>
                </c:pt>
                <c:pt idx="171">
                  <c:v>77.7256281892698</c:v>
                </c:pt>
                <c:pt idx="172">
                  <c:v>77.9430098896213</c:v>
                </c:pt>
                <c:pt idx="173">
                  <c:v>78.1604424807686</c:v>
                </c:pt>
                <c:pt idx="174">
                  <c:v>78.3777380432633</c:v>
                </c:pt>
                <c:pt idx="175">
                  <c:v>78.5947182767472</c:v>
                </c:pt>
                <c:pt idx="176">
                  <c:v>78.8112144968064</c:v>
                </c:pt>
                <c:pt idx="177">
                  <c:v>79.0270675916212</c:v>
                </c:pt>
                <c:pt idx="178">
                  <c:v>79.2421279417262</c:v>
                </c:pt>
                <c:pt idx="179">
                  <c:v>79.4562553061911</c:v>
                </c:pt>
                <c:pt idx="180">
                  <c:v>79.6693186784931</c:v>
                </c:pt>
                <c:pt idx="181">
                  <c:v>79.881196115291</c:v>
                </c:pt>
                <c:pt idx="182">
                  <c:v>80.0917745412132</c:v>
                </c:pt>
                <c:pt idx="183">
                  <c:v>80.300949532669</c:v>
                </c:pt>
                <c:pt idx="184">
                  <c:v>80.5086250835584</c:v>
                </c:pt>
                <c:pt idx="185">
                  <c:v>80.7147133556143</c:v>
                </c:pt>
                <c:pt idx="186">
                  <c:v>80.9191344159628</c:v>
                </c:pt>
                <c:pt idx="187">
                  <c:v>81.1218159643146</c:v>
                </c:pt>
                <c:pt idx="188">
                  <c:v>81.3226930520541</c:v>
                </c:pt>
                <c:pt idx="189">
                  <c:v>81.5217077953014</c:v>
                </c:pt>
                <c:pt idx="190">
                  <c:v>81.7188090838671</c:v>
                </c:pt>
                <c:pt idx="191">
                  <c:v>81.9139522878535</c:v>
                </c:pt>
                <c:pt idx="192">
                  <c:v>82.1070989634779</c:v>
                </c:pt>
                <c:pt idx="193">
                  <c:v>82.2982165595441</c:v>
                </c:pt>
                <c:pt idx="194">
                  <c:v>82.4872781258283</c:v>
                </c:pt>
                <c:pt idx="195">
                  <c:v>82.6742620244969</c:v>
                </c:pt>
                <c:pt idx="196">
                  <c:v>82.8591516455291</c:v>
                </c:pt>
                <c:pt idx="197">
                  <c:v>83.0419351269878</c:v>
                </c:pt>
                <c:pt idx="198">
                  <c:v>83.2226050808468</c:v>
                </c:pt>
                <c:pt idx="199">
                  <c:v>83.4011583249754</c:v>
                </c:pt>
                <c:pt idx="200">
                  <c:v>83.5775956217575</c:v>
                </c:pt>
                <c:pt idx="201">
                  <c:v>83.7519214237315</c:v>
                </c:pt>
                <c:pt idx="202">
                  <c:v>83.9241436265358</c:v>
                </c:pt>
                <c:pt idx="203">
                  <c:v>84.0942733293599</c:v>
                </c:pt>
                <c:pt idx="204">
                  <c:v>84.2623246030253</c:v>
                </c:pt>
                <c:pt idx="205">
                  <c:v>84.4283142657441</c:v>
                </c:pt>
                <c:pt idx="206">
                  <c:v>84.5922616665411</c:v>
                </c:pt>
                <c:pt idx="207">
                  <c:v>84.7541884762689</c:v>
                </c:pt>
                <c:pt idx="208">
                  <c:v>84.9141184860906</c:v>
                </c:pt>
                <c:pt idx="209">
                  <c:v>85.0720774132586</c:v>
                </c:pt>
                <c:pt idx="210">
                  <c:v>85.2280927139823</c:v>
                </c:pt>
                <c:pt idx="211">
                  <c:v>85.382193403136</c:v>
                </c:pt>
                <c:pt idx="212">
                  <c:v>85.5344098805295</c:v>
                </c:pt>
                <c:pt idx="213">
                  <c:v>85.6847737634407</c:v>
                </c:pt>
                <c:pt idx="214">
                  <c:v>85.8333177250799</c:v>
                </c:pt>
                <c:pt idx="215">
                  <c:v>85.9800753386425</c:v>
                </c:pt>
                <c:pt idx="216">
                  <c:v>86.125080926587</c:v>
                </c:pt>
                <c:pt idx="217">
                  <c:v>86.2683694147642</c:v>
                </c:pt>
                <c:pt idx="218">
                  <c:v>86.4099761910102</c:v>
                </c:pt>
                <c:pt idx="219">
                  <c:v>86.5499369678124</c:v>
                </c:pt>
                <c:pt idx="220">
                  <c:v>86.6882876486466</c:v>
                </c:pt>
                <c:pt idx="221">
                  <c:v>86.8250641975831</c:v>
                </c:pt>
                <c:pt idx="222">
                  <c:v>86.9603025117566</c:v>
                </c:pt>
                <c:pt idx="223">
                  <c:v>87.0940382962927</c:v>
                </c:pt>
                <c:pt idx="224">
                  <c:v>87.2263069412886</c:v>
                </c:pt>
                <c:pt idx="225">
                  <c:v>87.3571434004445</c:v>
                </c:pt>
                <c:pt idx="226">
                  <c:v>87.4865820709499</c:v>
                </c:pt>
                <c:pt idx="227">
                  <c:v>87.6146566742301</c:v>
                </c:pt>
                <c:pt idx="228">
                  <c:v>87.7414001371717</c:v>
                </c:pt>
                <c:pt idx="229">
                  <c:v>87.8668444734469</c:v>
                </c:pt>
                <c:pt idx="230">
                  <c:v>87.9910206645735</c:v>
                </c:pt>
                <c:pt idx="231">
                  <c:v>88.1139585403515</c:v>
                </c:pt>
                <c:pt idx="232">
                  <c:v>88.2356866583391</c:v>
                </c:pt>
                <c:pt idx="233">
                  <c:v>88.3562321820358</c:v>
                </c:pt>
                <c:pt idx="234">
                  <c:v>88.4756207574668</c:v>
                </c:pt>
                <c:pt idx="235">
                  <c:v>88.5938763878737</c:v>
                </c:pt>
                <c:pt idx="236">
                  <c:v>88.7110213062431</c:v>
                </c:pt>
                <c:pt idx="237">
                  <c:v>88.8270758454244</c:v>
                </c:pt>
                <c:pt idx="238">
                  <c:v>88.9420583056161</c:v>
                </c:pt>
                <c:pt idx="239">
                  <c:v>89.0559848190302</c:v>
                </c:pt>
                <c:pt idx="240">
                  <c:v>89.1688692115714</c:v>
                </c:pt>
                <c:pt idx="241">
                  <c:v>89.280722861409</c:v>
                </c:pt>
                <c:pt idx="242">
                  <c:v>89.3915545543558</c:v>
                </c:pt>
                <c:pt idx="243">
                  <c:v>89.5013703360084</c:v>
                </c:pt>
                <c:pt idx="244">
                  <c:v>89.6101733606563</c:v>
                </c:pt>
                <c:pt idx="245">
                  <c:v>89.7179637370146</c:v>
                </c:pt>
                <c:pt idx="246">
                  <c:v>89.8247383708884</c:v>
                </c:pt>
                <c:pt idx="247">
                  <c:v>89.9304908049441</c:v>
                </c:pt>
                <c:pt idx="248">
                  <c:v>90.0352110558251</c:v>
                </c:pt>
                <c:pt idx="249">
                  <c:v>90.138885448914</c:v>
                </c:pt>
                <c:pt idx="250">
                  <c:v>90.2414964511327</c:v>
                </c:pt>
                <c:pt idx="251">
                  <c:v>90.343022502236</c:v>
                </c:pt>
                <c:pt idx="252">
                  <c:v>90.4434378451545</c:v>
                </c:pt>
                <c:pt idx="253">
                  <c:v>90.5427123560214</c:v>
                </c:pt>
                <c:pt idx="254">
                  <c:v>90.640811374621</c:v>
                </c:pt>
                <c:pt idx="255">
                  <c:v>90.7376955360925</c:v>
                </c:pt>
                <c:pt idx="256">
                  <c:v>90.8333206048222</c:v>
                </c:pt>
                <c:pt idx="257">
                  <c:v>90.9276373115708</c:v>
                </c:pt>
                <c:pt idx="258">
                  <c:v>91.0205911949823</c:v>
                </c:pt>
                <c:pt idx="259">
                  <c:v>91.1121224487365</c:v>
                </c:pt>
                <c:pt idx="260">
                  <c:v>91.2021657757091</c:v>
                </c:pt>
                <c:pt idx="261">
                  <c:v>91.2906502506194</c:v>
                </c:pt>
                <c:pt idx="262">
                  <c:v>91.3774991927424</c:v>
                </c:pt>
                <c:pt idx="263">
                  <c:v>91.4626300503677</c:v>
                </c:pt>
                <c:pt idx="264">
                  <c:v>91.5459542987766</c:v>
                </c:pt>
                <c:pt idx="265">
                  <c:v>91.6273773535958</c:v>
                </c:pt>
                <c:pt idx="266">
                  <c:v>91.7067985014584</c:v>
                </c:pt>
                <c:pt idx="267">
                  <c:v>91.784110849961</c:v>
                </c:pt>
                <c:pt idx="268">
                  <c:v>91.8592012989505</c:v>
                </c:pt>
                <c:pt idx="269">
                  <c:v>91.931950535197</c:v>
                </c:pt>
                <c:pt idx="270">
                  <c:v>92.0022330525095</c:v>
                </c:pt>
                <c:pt idx="271">
                  <c:v>92.0699171993316</c:v>
                </c:pt>
                <c:pt idx="272">
                  <c:v>92.1348652558014</c:v>
                </c:pt>
                <c:pt idx="273">
                  <c:v>92.1969335421757</c:v>
                </c:pt>
                <c:pt idx="274">
                  <c:v>92.2559725604158</c:v>
                </c:pt>
                <c:pt idx="275">
                  <c:v>92.3118271705709</c:v>
                </c:pt>
                <c:pt idx="276">
                  <c:v>92.3643368034186</c:v>
                </c:pt>
                <c:pt idx="277">
                  <c:v>92.4133357105997</c:v>
                </c:pt>
                <c:pt idx="278">
                  <c:v>92.4586532532134</c:v>
                </c:pt>
                <c:pt idx="279">
                  <c:v>92.5001142295591</c:v>
                </c:pt>
                <c:pt idx="280">
                  <c:v>92.5375392423408</c:v>
                </c:pt>
                <c:pt idx="281">
                  <c:v>92.570745105317</c:v>
                </c:pt>
                <c:pt idx="282">
                  <c:v>92.5995452889273</c:v>
                </c:pt>
                <c:pt idx="283">
                  <c:v>92.6237504040232</c:v>
                </c:pt>
                <c:pt idx="284">
                  <c:v>92.6431687223399</c:v>
                </c:pt>
                <c:pt idx="285">
                  <c:v>92.6576067318704</c:v>
                </c:pt>
                <c:pt idx="286">
                  <c:v>92.6668697248046</c:v>
                </c:pt>
                <c:pt idx="287">
                  <c:v>92.670762415173</c:v>
                </c:pt>
                <c:pt idx="288">
                  <c:v>92.669089582845</c:v>
                </c:pt>
                <c:pt idx="289">
                  <c:v>92.6616567400118</c:v>
                </c:pt>
                <c:pt idx="290">
                  <c:v>92.648270815829</c:v>
                </c:pt>
                <c:pt idx="291">
                  <c:v>92.6287408544183</c:v>
                </c:pt>
                <c:pt idx="292">
                  <c:v>92.6028787210348</c:v>
                </c:pt>
                <c:pt idx="293">
                  <c:v>92.5704998108348</c:v>
                </c:pt>
                <c:pt idx="294">
                  <c:v>92.5314237543735</c:v>
                </c:pt>
                <c:pt idx="295">
                  <c:v>92.4854751137352</c:v>
                </c:pt>
                <c:pt idx="296">
                  <c:v>92.4324840630227</c:v>
                </c:pt>
                <c:pt idx="297">
                  <c:v>92.3722870468696</c:v>
                </c:pt>
                <c:pt idx="298">
                  <c:v>92.3047274106443</c:v>
                </c:pt>
                <c:pt idx="299">
                  <c:v>92.2296559961139</c:v>
                </c:pt>
                <c:pt idx="300">
                  <c:v>92.1469316965428</c:v>
                </c:pt>
                <c:pt idx="301">
                  <c:v>92.0564219654917</c:v>
                </c:pt>
                <c:pt idx="302">
                  <c:v>91.9580032739719</c:v>
                </c:pt>
                <c:pt idx="303">
                  <c:v>91.851561511079</c:v>
                </c:pt>
                <c:pt idx="304">
                  <c:v>91.7369923238082</c:v>
                </c:pt>
                <c:pt idx="305">
                  <c:v>91.6142013923749</c:v>
                </c:pt>
                <c:pt idx="306">
                  <c:v>91.4831046380737</c:v>
                </c:pt>
                <c:pt idx="307">
                  <c:v>91.3436283614695</c:v>
                </c:pt>
                <c:pt idx="308">
                  <c:v>91.1957093095044</c:v>
                </c:pt>
                <c:pt idx="309">
                  <c:v>91.0392946709462</c:v>
                </c:pt>
                <c:pt idx="310">
                  <c:v>90.8743420004258</c:v>
                </c:pt>
                <c:pt idx="311">
                  <c:v>90.700819072175</c:v>
                </c:pt>
                <c:pt idx="312">
                  <c:v>90.5187036653663</c:v>
                </c:pt>
                <c:pt idx="313">
                  <c:v>90.3279832837856</c:v>
                </c:pt>
                <c:pt idx="314">
                  <c:v>90.1286548132815</c:v>
                </c:pt>
                <c:pt idx="315">
                  <c:v>89.9207241211508</c:v>
                </c:pt>
                <c:pt idx="316">
                  <c:v>89.7042056022251</c:v>
                </c:pt>
                <c:pt idx="317">
                  <c:v>89.4791216769779</c:v>
                </c:pt>
                <c:pt idx="318">
                  <c:v>89.2455022474332</c:v>
                </c:pt>
                <c:pt idx="319">
                  <c:v>89.0033841170086</c:v>
                </c:pt>
                <c:pt idx="320">
                  <c:v>88.7528103807298</c:v>
                </c:pt>
                <c:pt idx="321">
                  <c:v>88.4938297924054</c:v>
                </c:pt>
                <c:pt idx="322">
                  <c:v>88.2264961154603</c:v>
                </c:pt>
                <c:pt idx="323">
                  <c:v>87.9508674641002</c:v>
                </c:pt>
                <c:pt idx="324">
                  <c:v>87.6670056414092</c:v>
                </c:pt>
                <c:pt idx="325">
                  <c:v>87.3749754807802</c:v>
                </c:pt>
                <c:pt idx="326">
                  <c:v>87.0748441968653</c:v>
                </c:pt>
                <c:pt idx="327">
                  <c:v>86.7666807518772</c:v>
                </c:pt>
                <c:pt idx="328">
                  <c:v>86.4505552427459</c:v>
                </c:pt>
                <c:pt idx="329">
                  <c:v>86.126538314181</c:v>
                </c:pt>
                <c:pt idx="330">
                  <c:v>85.7947006022587</c:v>
                </c:pt>
                <c:pt idx="331">
                  <c:v>85.4551122126562</c:v>
                </c:pt>
                <c:pt idx="332">
                  <c:v>85.1078422371705</c:v>
                </c:pt>
                <c:pt idx="333">
                  <c:v>84.7529583116307</c:v>
                </c:pt>
                <c:pt idx="334">
                  <c:v>84.3905262178267</c:v>
                </c:pt>
                <c:pt idx="335">
                  <c:v>84.0206095315548</c:v>
                </c:pt>
                <c:pt idx="336">
                  <c:v>83.6432693184092</c:v>
                </c:pt>
                <c:pt idx="337">
                  <c:v>83.2585638784657</c:v>
                </c:pt>
                <c:pt idx="338">
                  <c:v>82.8665485405766</c:v>
                </c:pt>
                <c:pt idx="339">
                  <c:v>82.4672755065693</c:v>
                </c:pt>
                <c:pt idx="340">
                  <c:v>82.0607937452603</c:v>
                </c:pt>
                <c:pt idx="341">
                  <c:v>81.6471489358455</c:v>
                </c:pt>
                <c:pt idx="342">
                  <c:v>81.226383459915</c:v>
                </c:pt>
                <c:pt idx="343">
                  <c:v>80.798536441048</c:v>
                </c:pt>
                <c:pt idx="344">
                  <c:v>80.3636438307002</c:v>
                </c:pt>
                <c:pt idx="345">
                  <c:v>79.9217385388729</c:v>
                </c:pt>
                <c:pt idx="346">
                  <c:v>79.472850607867</c:v>
                </c:pt>
                <c:pt idx="347">
                  <c:v>79.0170074272608</c:v>
                </c:pt>
                <c:pt idx="348">
                  <c:v>78.5542339881161</c:v>
                </c:pt>
                <c:pt idx="349">
                  <c:v>78.0845531742974</c:v>
                </c:pt>
                <c:pt idx="350">
                  <c:v>77.6079860887005</c:v>
                </c:pt>
                <c:pt idx="351">
                  <c:v>77.1245524120998</c:v>
                </c:pt>
                <c:pt idx="352">
                  <c:v>76.6342707922567</c:v>
                </c:pt>
                <c:pt idx="353">
                  <c:v>76.1371592608824</c:v>
                </c:pt>
                <c:pt idx="354">
                  <c:v>75.6332356759801</c:v>
                </c:pt>
                <c:pt idx="355">
                  <c:v>75.1225181870686</c:v>
                </c:pt>
                <c:pt idx="356">
                  <c:v>74.6050257207209</c:v>
                </c:pt>
                <c:pt idx="357">
                  <c:v>74.080778483829</c:v>
                </c:pt>
                <c:pt idx="358">
                  <c:v>73.5497984819428</c:v>
                </c:pt>
                <c:pt idx="359">
                  <c:v>73.0121100499966</c:v>
                </c:pt>
                <c:pt idx="360">
                  <c:v>72.467740392675</c:v>
                </c:pt>
                <c:pt idx="361">
                  <c:v>71.9167201316202</c:v>
                </c:pt>
                <c:pt idx="362">
                  <c:v>71.3590838566186</c:v>
                </c:pt>
                <c:pt idx="363">
                  <c:v>70.7948706778436</c:v>
                </c:pt>
                <c:pt idx="364">
                  <c:v>70.224124776163</c:v>
                </c:pt>
                <c:pt idx="365">
                  <c:v>69.6468959484507</c:v>
                </c:pt>
                <c:pt idx="366">
                  <c:v>69.0632401447778</c:v>
                </c:pt>
                <c:pt idx="367">
                  <c:v>68.4732199942814</c:v>
                </c:pt>
                <c:pt idx="368">
                  <c:v>67.8769053164631</c:v>
                </c:pt>
                <c:pt idx="369">
                  <c:v>67.2743736145993</c:v>
                </c:pt>
                <c:pt idx="370">
                  <c:v>66.6657105479045</c:v>
                </c:pt>
                <c:pt idx="371">
                  <c:v>66.0510103790609</c:v>
                </c:pt>
                <c:pt idx="372">
                  <c:v>65.4303763937094</c:v>
                </c:pt>
                <c:pt idx="373">
                  <c:v>64.8039212884928</c:v>
                </c:pt>
                <c:pt idx="374">
                  <c:v>64.1717675242838</c:v>
                </c:pt>
                <c:pt idx="375">
                  <c:v>63.5340476412707</c:v>
                </c:pt>
                <c:pt idx="376">
                  <c:v>62.8909045326669</c:v>
                </c:pt>
                <c:pt idx="377">
                  <c:v>62.2424916739171</c:v>
                </c:pt>
                <c:pt idx="378">
                  <c:v>61.5889733044334</c:v>
                </c:pt>
                <c:pt idx="379">
                  <c:v>60.9305245590751</c:v>
                </c:pt>
                <c:pt idx="380">
                  <c:v>60.2673315468213</c:v>
                </c:pt>
                <c:pt idx="381">
                  <c:v>59.5995913743447</c:v>
                </c:pt>
                <c:pt idx="382">
                  <c:v>58.9275121125087</c:v>
                </c:pt>
                <c:pt idx="383">
                  <c:v>58.2513127041544</c:v>
                </c:pt>
                <c:pt idx="384">
                  <c:v>57.5712228119317</c:v>
                </c:pt>
                <c:pt idx="385">
                  <c:v>56.8874826053371</c:v>
                </c:pt>
                <c:pt idx="386">
                  <c:v>56.2003424866021</c:v>
                </c:pt>
                <c:pt idx="387">
                  <c:v>55.5100627555196</c:v>
                </c:pt>
                <c:pt idx="388">
                  <c:v>54.8169132138311</c:v>
                </c:pt>
                <c:pt idx="389">
                  <c:v>54.1211727103067</c:v>
                </c:pt>
                <c:pt idx="390">
                  <c:v>53.4231286281786</c:v>
                </c:pt>
                <c:pt idx="391">
                  <c:v>52.723076317134</c:v>
                </c:pt>
                <c:pt idx="392">
                  <c:v>52.0213184725941</c:v>
                </c:pt>
                <c:pt idx="393">
                  <c:v>51.3181644655359</c:v>
                </c:pt>
                <c:pt idx="394">
                  <c:v>50.6139296265995</c:v>
                </c:pt>
                <c:pt idx="395">
                  <c:v>49.9089344886997</c:v>
                </c:pt>
                <c:pt idx="396">
                  <c:v>49.2035039927879</c:v>
                </c:pt>
                <c:pt idx="397">
                  <c:v>48.4979666618028</c:v>
                </c:pt>
                <c:pt idx="398">
                  <c:v>47.7926537481729</c:v>
                </c:pt>
                <c:pt idx="399">
                  <c:v>47.0878983605207</c:v>
                </c:pt>
                <c:pt idx="400">
                  <c:v>46.3840345754263</c:v>
                </c:pt>
                <c:pt idx="401">
                  <c:v>45.6813965402532</c:v>
                </c:pt>
                <c:pt idx="402">
                  <c:v>44.9803175731291</c:v>
                </c:pt>
                <c:pt idx="403">
                  <c:v>44.2811292661518</c:v>
                </c:pt>
                <c:pt idx="404">
                  <c:v>43.5841605978564</c:v>
                </c:pt>
                <c:pt idx="405">
                  <c:v>42.8897370608166</c:v>
                </c:pt>
                <c:pt idx="406">
                  <c:v>42.1981798100642</c:v>
                </c:pt>
                <c:pt idx="407">
                  <c:v>41.5098048377354</c:v>
                </c:pt>
                <c:pt idx="408">
                  <c:v>40.824922179018</c:v>
                </c:pt>
                <c:pt idx="409">
                  <c:v>40.1438351541146</c:v>
                </c:pt>
                <c:pt idx="410">
                  <c:v>39.4668396504766</c:v>
                </c:pt>
                <c:pt idx="411">
                  <c:v>38.7942234491327</c:v>
                </c:pt>
                <c:pt idx="412">
                  <c:v>38.1262655984152</c:v>
                </c:pt>
                <c:pt idx="413">
                  <c:v>37.4632358378767</c:v>
                </c:pt>
                <c:pt idx="414">
                  <c:v>36.8053940746655</c:v>
                </c:pt>
                <c:pt idx="415">
                  <c:v>36.152989914075</c:v>
                </c:pt>
                <c:pt idx="416">
                  <c:v>35.5062622454647</c:v>
                </c:pt>
                <c:pt idx="417">
                  <c:v>34.8654388842125</c:v>
                </c:pt>
                <c:pt idx="418">
                  <c:v>34.2307362698618</c:v>
                </c:pt>
                <c:pt idx="419">
                  <c:v>33.6023592201318</c:v>
                </c:pt>
                <c:pt idx="420">
                  <c:v>32.9805007400202</c:v>
                </c:pt>
                <c:pt idx="421">
                  <c:v>32.3653418847887</c:v>
                </c:pt>
                <c:pt idx="422">
                  <c:v>31.7570516752588</c:v>
                </c:pt>
                <c:pt idx="423">
                  <c:v>31.1557870634826</c:v>
                </c:pt>
                <c:pt idx="424">
                  <c:v>30.5616929465676</c:v>
                </c:pt>
                <c:pt idx="425">
                  <c:v>29.9749022261716</c:v>
                </c:pt>
                <c:pt idx="426">
                  <c:v>29.3955359109663</c:v>
                </c:pt>
                <c:pt idx="427">
                  <c:v>28.8237032592071</c:v>
                </c:pt>
                <c:pt idx="428">
                  <c:v>28.2595019584047</c:v>
                </c:pt>
                <c:pt idx="429">
                  <c:v>27.7030183390192</c:v>
                </c:pt>
                <c:pt idx="430">
                  <c:v>27.1543276190366</c:v>
                </c:pt>
                <c:pt idx="431">
                  <c:v>26.6134941762754</c:v>
                </c:pt>
                <c:pt idx="432">
                  <c:v>26.0805718452883</c:v>
                </c:pt>
                <c:pt idx="433">
                  <c:v>25.5556042357705</c:v>
                </c:pt>
                <c:pt idx="434">
                  <c:v>25.0386250694567</c:v>
                </c:pt>
                <c:pt idx="435">
                  <c:v>24.529658532584</c:v>
                </c:pt>
                <c:pt idx="436">
                  <c:v>24.0287196411147</c:v>
                </c:pt>
                <c:pt idx="437">
                  <c:v>23.5358146160355</c:v>
                </c:pt>
                <c:pt idx="438">
                  <c:v>23.0509412662042</c:v>
                </c:pt>
                <c:pt idx="439">
                  <c:v>22.5740893763558</c:v>
                </c:pt>
                <c:pt idx="440">
                  <c:v>22.1052410980502</c:v>
                </c:pt>
                <c:pt idx="441">
                  <c:v>21.6443713414999</c:v>
                </c:pt>
                <c:pt idx="442">
                  <c:v>21.1914481663907</c:v>
                </c:pt>
                <c:pt idx="443">
                  <c:v>20.7464331699667</c:v>
                </c:pt>
                <c:pt idx="444">
                  <c:v>20.3092818708306</c:v>
                </c:pt>
                <c:pt idx="445">
                  <c:v>19.8799440870513</c:v>
                </c:pt>
                <c:pt idx="446">
                  <c:v>19.4583643073503</c:v>
                </c:pt>
                <c:pt idx="447">
                  <c:v>19.0444820542766</c:v>
                </c:pt>
                <c:pt idx="448">
                  <c:v>18.6382322384293</c:v>
                </c:pt>
                <c:pt idx="449">
                  <c:v>18.2395455029231</c:v>
                </c:pt>
                <c:pt idx="450">
                  <c:v>17.8483485574249</c:v>
                </c:pt>
                <c:pt idx="451">
                  <c:v>17.4645645012098</c:v>
                </c:pt>
                <c:pt idx="452">
                  <c:v>17.0881131347952</c:v>
                </c:pt>
                <c:pt idx="453">
                  <c:v>16.7189112598204</c:v>
                </c:pt>
                <c:pt idx="454">
                  <c:v>16.3568729669316</c:v>
                </c:pt>
                <c:pt idx="455">
                  <c:v>16.0019099115241</c:v>
                </c:pt>
                <c:pt idx="456">
                  <c:v>15.6539315772643</c:v>
                </c:pt>
                <c:pt idx="457">
                  <c:v>15.3128455273967</c:v>
                </c:pt>
                <c:pt idx="458">
                  <c:v>14.9785576438953</c:v>
                </c:pt>
                <c:pt idx="459">
                  <c:v>14.6509723545769</c:v>
                </c:pt>
                <c:pt idx="460">
                  <c:v>14.3299928483504</c:v>
                </c:pt>
                <c:pt idx="461">
                  <c:v>14.0155212788054</c:v>
                </c:pt>
                <c:pt idx="462">
                  <c:v>13.7074589563962</c:v>
                </c:pt>
                <c:pt idx="463">
                  <c:v>13.4057065294935</c:v>
                </c:pt>
                <c:pt idx="464">
                  <c:v>13.1101641546137</c:v>
                </c:pt>
                <c:pt idx="465">
                  <c:v>12.8207316561503</c:v>
                </c:pt>
                <c:pt idx="466">
                  <c:v>12.5373086759506</c:v>
                </c:pt>
                <c:pt idx="467">
                  <c:v>12.2597948130943</c:v>
                </c:pt>
                <c:pt idx="468">
                  <c:v>11.9880897542408</c:v>
                </c:pt>
                <c:pt idx="469">
                  <c:v>11.7220933949142</c:v>
                </c:pt>
                <c:pt idx="470">
                  <c:v>11.4617059521058</c:v>
                </c:pt>
                <c:pt idx="471">
                  <c:v>11.2068280685634</c:v>
                </c:pt>
                <c:pt idx="472">
                  <c:v>10.9573609091504</c:v>
                </c:pt>
                <c:pt idx="473">
                  <c:v>10.7132062496388</c:v>
                </c:pt>
                <c:pt idx="474">
                  <c:v>10.4742665583063</c:v>
                </c:pt>
                <c:pt idx="475">
                  <c:v>10.2404450706967</c:v>
                </c:pt>
                <c:pt idx="476">
                  <c:v>10.0116458578963</c:v>
                </c:pt>
                <c:pt idx="477">
                  <c:v>9.78777388866826</c:v>
                </c:pt>
                <c:pt idx="478">
                  <c:v>9.56873508578233</c:v>
                </c:pt>
                <c:pt idx="479">
                  <c:v>9.35443637686085</c:v>
                </c:pt>
                <c:pt idx="480">
                  <c:v>9.14478574005723</c:v>
                </c:pt>
                <c:pt idx="481">
                  <c:v>8.93969224486743</c:v>
                </c:pt>
                <c:pt idx="482">
                  <c:v>8.73906608836707</c:v>
                </c:pt>
                <c:pt idx="483">
                  <c:v>8.5428186271531</c:v>
                </c:pt>
                <c:pt idx="484">
                  <c:v>8.35086240525953</c:v>
                </c:pt>
                <c:pt idx="485">
                  <c:v>8.16311117830162</c:v>
                </c:pt>
                <c:pt idx="486">
                  <c:v>7.97947993409702</c:v>
                </c:pt>
                <c:pt idx="487">
                  <c:v>7.79988490999416</c:v>
                </c:pt>
                <c:pt idx="488">
                  <c:v>7.6242436071347</c:v>
                </c:pt>
                <c:pt idx="489">
                  <c:v>7.45247480185845</c:v>
                </c:pt>
                <c:pt idx="490">
                  <c:v>7.2844985544541</c:v>
                </c:pt>
                <c:pt idx="491">
                  <c:v>7.12023621544576</c:v>
                </c:pt>
                <c:pt idx="492">
                  <c:v>6.95961042959615</c:v>
                </c:pt>
                <c:pt idx="493">
                  <c:v>6.80254513779778</c:v>
                </c:pt>
                <c:pt idx="494">
                  <c:v>6.64896557701338</c:v>
                </c:pt>
                <c:pt idx="495">
                  <c:v>6.49879827841796</c:v>
                </c:pt>
                <c:pt idx="496">
                  <c:v>6.35197106388685</c:v>
                </c:pt>
                <c:pt idx="497">
                  <c:v>6.20841304096461</c:v>
                </c:pt>
                <c:pt idx="498">
                  <c:v>6.06805459644196</c:v>
                </c:pt>
                <c:pt idx="499">
                  <c:v>5.93082738866163</c:v>
                </c:pt>
                <c:pt idx="500">
                  <c:v>5.79666433866418</c:v>
                </c:pt>
                <c:pt idx="501">
                  <c:v>5.66549962028016</c:v>
                </c:pt>
                <c:pt idx="502">
                  <c:v>5.5372686492665</c:v>
                </c:pt>
                <c:pt idx="503">
                  <c:v>5.41190807158122</c:v>
                </c:pt>
                <c:pt idx="504">
                  <c:v>5.28935575088098</c:v>
                </c:pt>
                <c:pt idx="505">
                  <c:v>5.16955075532379</c:v>
                </c:pt>
                <c:pt idx="506">
                  <c:v>5.05243334375148</c:v>
                </c:pt>
                <c:pt idx="507">
                  <c:v>4.93794495132337</c:v>
                </c:pt>
                <c:pt idx="508">
                  <c:v>4.8260281746647</c:v>
                </c:pt>
                <c:pt idx="509">
                  <c:v>4.71662675659314</c:v>
                </c:pt>
                <c:pt idx="510">
                  <c:v>4.60968557047856</c:v>
                </c:pt>
                <c:pt idx="511">
                  <c:v>4.5051506042892</c:v>
                </c:pt>
                <c:pt idx="512">
                  <c:v>4.40296894437304</c:v>
                </c:pt>
                <c:pt idx="513">
                  <c:v>4.30308875901985</c:v>
                </c:pt>
                <c:pt idx="514">
                  <c:v>4.20545928184547</c:v>
                </c:pt>
                <c:pt idx="515">
                  <c:v>4.11003079503775</c:v>
                </c:pt>
                <c:pt idx="516">
                  <c:v>4.01675461249856</c:v>
                </c:pt>
                <c:pt idx="517">
                  <c:v>3.92558306291648</c:v>
                </c:pt>
                <c:pt idx="518">
                  <c:v>3.83646947279974</c:v>
                </c:pt>
                <c:pt idx="519">
                  <c:v>3.74936814949689</c:v>
                </c:pt>
                <c:pt idx="520">
                  <c:v>3.66423436423184</c:v>
                </c:pt>
                <c:pt idx="521">
                  <c:v>3.58102433517579</c:v>
                </c:pt>
                <c:pt idx="522">
                  <c:v>3.49969521057837</c:v>
                </c:pt>
                <c:pt idx="523">
                  <c:v>3.42020505197682</c:v>
                </c:pt>
                <c:pt idx="524">
                  <c:v>3.34251281750147</c:v>
                </c:pt>
                <c:pt idx="525">
                  <c:v>3.26657834529368</c:v>
                </c:pt>
                <c:pt idx="526">
                  <c:v>3.19236233705114</c:v>
                </c:pt>
                <c:pt idx="527">
                  <c:v>3.11982634171309</c:v>
                </c:pt>
                <c:pt idx="528">
                  <c:v>3.04893273929816</c:v>
                </c:pt>
                <c:pt idx="529">
                  <c:v>2.97964472490527</c:v>
                </c:pt>
                <c:pt idx="530">
                  <c:v>2.91192629288702</c:v>
                </c:pt>
                <c:pt idx="531">
                  <c:v>2.84574222120427</c:v>
                </c:pt>
                <c:pt idx="532">
                  <c:v>2.78105805596953</c:v>
                </c:pt>
                <c:pt idx="533">
                  <c:v>2.71784009618513</c:v>
                </c:pt>
                <c:pt idx="534">
                  <c:v>2.65605537868301</c:v>
                </c:pt>
                <c:pt idx="535">
                  <c:v>2.59567166326998</c:v>
                </c:pt>
                <c:pt idx="536">
                  <c:v>2.53665741808368</c:v>
                </c:pt>
                <c:pt idx="537">
                  <c:v>2.47898180516192</c:v>
                </c:pt>
                <c:pt idx="538">
                  <c:v>2.42261466622902</c:v>
                </c:pt>
                <c:pt idx="539">
                  <c:v>2.36752650870127</c:v>
                </c:pt>
                <c:pt idx="540">
                  <c:v>2.31368849191346</c:v>
                </c:pt>
                <c:pt idx="541">
                  <c:v>2.26107241356748</c:v>
                </c:pt>
              </c:numCache>
            </c:numRef>
          </c:yVal>
          <c:smooth val="1"/>
        </c:ser>
        <c:dLbls>
          <c:showLegendKey val="0"/>
          <c:showVal val="0"/>
          <c:showCatName val="0"/>
          <c:showSerName val="0"/>
          <c:showPercent val="0"/>
          <c:showBubbleSize val="0"/>
        </c:dLbls>
        <c:axId val="178915200"/>
        <c:axId val="178913664"/>
      </c:scatterChart>
      <c:valAx>
        <c:axId val="178901376"/>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03296"/>
        <c:crosses val="autoZero"/>
        <c:crossBetween val="midCat"/>
      </c:valAx>
      <c:valAx>
        <c:axId val="178903296"/>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01376"/>
        <c:crosses val="autoZero"/>
        <c:crossBetween val="midCat"/>
        <c:majorUnit val="20"/>
        <c:minorUnit val="10"/>
      </c:valAx>
      <c:valAx>
        <c:axId val="178915200"/>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13664"/>
        <c:crosses val="autoZero"/>
        <c:crossBetween val="midCat"/>
      </c:valAx>
      <c:valAx>
        <c:axId val="178913664"/>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15200"/>
        <c:crosses val="max"/>
        <c:crossBetween val="midCat"/>
        <c:majorUnit val="90"/>
        <c:minorUnit val="45"/>
      </c:valAx>
    </c:plotArea>
    <c:plotVisOnly val="1"/>
    <c:dispBlanksAs val="gap"/>
    <c:showDLblsOverMax val="0"/>
    <c:extLst>
      <c:ext uri="{0b15fc19-7d7d-44ad-8c2d-2c3a37ce22c3}">
        <chartProps xmlns="https://web.wps.cn/et/2018/main" chartId="{b4989062-e712-4921-b8f5-b113f4e82bf7}"/>
      </c:ext>
    </c:extLst>
  </c:chart>
  <c:txPr>
    <a:bodyPr/>
    <a:lstStyle/>
    <a:p>
      <a:pPr>
        <a:defRPr lang="pl-PL"/>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pl-PL" sz="1800" b="1" i="0" u="none" strike="noStrike" kern="1200" baseline="0">
                <a:solidFill>
                  <a:schemeClr val="tx1"/>
                </a:solidFill>
                <a:latin typeface="+mn-lt"/>
                <a:ea typeface="+mn-ea"/>
                <a:cs typeface="+mn-cs"/>
              </a:defRPr>
            </a:pPr>
            <a:r>
              <a:rPr lang="en-US" baseline="0"/>
              <a:t>Total Control Loop Transfer Function</a:t>
            </a:r>
            <a:endParaRPr lang="en-US" baseline="0"/>
          </a:p>
        </c:rich>
      </c:tx>
      <c:layout/>
      <c:overlay val="0"/>
    </c:title>
    <c:autoTitleDeleted val="0"/>
    <c:plotArea>
      <c:layout/>
      <c:scatterChart>
        <c:scatterStyle val="smooth"/>
        <c:varyColors val="0"/>
        <c:ser>
          <c:idx val="0"/>
          <c:order val="0"/>
          <c:spPr>
            <a:ln w="38100" cap="rnd" cmpd="sng" algn="ctr">
              <a:solidFill>
                <a:srgbClr val="FF0000"/>
              </a:solidFill>
              <a:prstDash val="solid"/>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Loop_Modeling!$BL$19:$BL$560</c:f>
              <c:numCache>
                <c:formatCode>General</c:formatCode>
                <c:ptCount val="542"/>
                <c:pt idx="0">
                  <c:v>54.323892951374</c:v>
                </c:pt>
                <c:pt idx="1">
                  <c:v>54.1219166768084</c:v>
                </c:pt>
                <c:pt idx="2">
                  <c:v>53.919848476038</c:v>
                </c:pt>
                <c:pt idx="3">
                  <c:v>53.7176841322702</c:v>
                </c:pt>
                <c:pt idx="4">
                  <c:v>53.5154192409183</c:v>
                </c:pt>
                <c:pt idx="5">
                  <c:v>53.3130492017745</c:v>
                </c:pt>
                <c:pt idx="6">
                  <c:v>53.1105692109103</c:v>
                </c:pt>
                <c:pt idx="7">
                  <c:v>52.9079742522967</c:v>
                </c:pt>
                <c:pt idx="8">
                  <c:v>52.7052590891412</c:v>
                </c:pt>
                <c:pt idx="9">
                  <c:v>52.5024182549403</c:v>
                </c:pt>
                <c:pt idx="10">
                  <c:v>52.299446044241</c:v>
                </c:pt>
                <c:pt idx="11">
                  <c:v>52.0963365031125</c:v>
                </c:pt>
                <c:pt idx="12">
                  <c:v>51.8930834193269</c:v>
                </c:pt>
                <c:pt idx="13">
                  <c:v>51.6896803122462</c:v>
                </c:pt>
                <c:pt idx="14">
                  <c:v>51.4861204224209</c:v>
                </c:pt>
                <c:pt idx="15">
                  <c:v>51.2823967008982</c:v>
                </c:pt>
                <c:pt idx="16">
                  <c:v>51.0785017982479</c:v>
                </c:pt>
                <c:pt idx="17">
                  <c:v>50.8744280533077</c:v>
                </c:pt>
                <c:pt idx="18">
                  <c:v>50.6701674816575</c:v>
                </c:pt>
                <c:pt idx="19">
                  <c:v>50.4657117638307</c:v>
                </c:pt>
                <c:pt idx="20">
                  <c:v>50.2610522332743</c:v>
                </c:pt>
                <c:pt idx="21">
                  <c:v>50.0561798640705</c:v>
                </c:pt>
                <c:pt idx="22">
                  <c:v>49.8510852584364</c:v>
                </c:pt>
                <c:pt idx="23">
                  <c:v>49.6457586340212</c:v>
                </c:pt>
                <c:pt idx="24">
                  <c:v>49.4401898110214</c:v>
                </c:pt>
                <c:pt idx="25">
                  <c:v>49.2343681991402</c:v>
                </c:pt>
                <c:pt idx="26">
                  <c:v>49.0282827844203</c:v>
                </c:pt>
                <c:pt idx="27">
                  <c:v>48.8219221159812</c:v>
                </c:pt>
                <c:pt idx="28">
                  <c:v>48.6152742926987</c:v>
                </c:pt>
                <c:pt idx="29">
                  <c:v>48.4083269498686</c:v>
                </c:pt>
                <c:pt idx="30">
                  <c:v>48.2010672458984</c:v>
                </c:pt>
                <c:pt idx="31">
                  <c:v>47.9934818490808</c:v>
                </c:pt>
                <c:pt idx="32">
                  <c:v>47.7855569245033</c:v>
                </c:pt>
                <c:pt idx="33">
                  <c:v>47.5772781211576</c:v>
                </c:pt>
                <c:pt idx="34">
                  <c:v>47.3686305593174</c:v>
                </c:pt>
                <c:pt idx="35">
                  <c:v>47.1595988182577</c:v>
                </c:pt>
                <c:pt idx="36">
                  <c:v>46.9501669244002</c:v>
                </c:pt>
                <c:pt idx="37">
                  <c:v>46.7403183399712</c:v>
                </c:pt>
                <c:pt idx="38">
                  <c:v>46.5300359522691</c:v>
                </c:pt>
                <c:pt idx="39">
                  <c:v>46.3193020636467</c:v>
                </c:pt>
                <c:pt idx="40">
                  <c:v>46.1080983823172</c:v>
                </c:pt>
                <c:pt idx="41">
                  <c:v>45.8964060141075</c:v>
                </c:pt>
                <c:pt idx="42">
                  <c:v>45.6842054552843</c:v>
                </c:pt>
                <c:pt idx="43">
                  <c:v>45.4714765865923</c:v>
                </c:pt>
                <c:pt idx="44">
                  <c:v>45.258198668647</c:v>
                </c:pt>
                <c:pt idx="45">
                  <c:v>45.0443503388391</c:v>
                </c:pt>
                <c:pt idx="46">
                  <c:v>44.8299096099104</c:v>
                </c:pt>
                <c:pt idx="47">
                  <c:v>44.6148538703732</c:v>
                </c:pt>
                <c:pt idx="48">
                  <c:v>44.3991598869501</c:v>
                </c:pt>
                <c:pt idx="49">
                  <c:v>44.182803809222</c:v>
                </c:pt>
                <c:pt idx="50">
                  <c:v>43.9657611766748</c:v>
                </c:pt>
                <c:pt idx="51">
                  <c:v>43.7480069283454</c:v>
                </c:pt>
                <c:pt idx="52">
                  <c:v>43.5295154152709</c:v>
                </c:pt>
                <c:pt idx="53">
                  <c:v>43.3102604159493</c:v>
                </c:pt>
                <c:pt idx="54">
                  <c:v>43.0902151550224</c:v>
                </c:pt>
                <c:pt idx="55">
                  <c:v>42.8693523253968</c:v>
                </c:pt>
                <c:pt idx="56">
                  <c:v>42.6476441140127</c:v>
                </c:pt>
                <c:pt idx="57">
                  <c:v>42.4250622314742</c:v>
                </c:pt>
                <c:pt idx="58">
                  <c:v>42.2015779457472</c:v>
                </c:pt>
                <c:pt idx="59">
                  <c:v>41.9771621201265</c:v>
                </c:pt>
                <c:pt idx="60">
                  <c:v>41.7517852556639</c:v>
                </c:pt>
                <c:pt idx="61">
                  <c:v>41.5254175382378</c:v>
                </c:pt>
                <c:pt idx="62">
                  <c:v>41.2980288904313</c:v>
                </c:pt>
                <c:pt idx="63">
                  <c:v>41.0695890283667</c:v>
                </c:pt>
                <c:pt idx="64">
                  <c:v>40.8400675236232</c:v>
                </c:pt>
                <c:pt idx="65">
                  <c:v>40.6094338703441</c:v>
                </c:pt>
                <c:pt idx="66">
                  <c:v>40.3776575576048</c:v>
                </c:pt>
                <c:pt idx="67">
                  <c:v>40.1447081470894</c:v>
                </c:pt>
                <c:pt idx="68">
                  <c:v>39.910555356082</c:v>
                </c:pt>
                <c:pt idx="69">
                  <c:v>39.6751691457438</c:v>
                </c:pt>
                <c:pt idx="70">
                  <c:v>39.438519814604</c:v>
                </c:pt>
                <c:pt idx="71">
                  <c:v>39.2005780971471</c:v>
                </c:pt>
                <c:pt idx="72">
                  <c:v>38.9613152673288</c:v>
                </c:pt>
                <c:pt idx="73">
                  <c:v>38.720703246805</c:v>
                </c:pt>
                <c:pt idx="74">
                  <c:v>38.4787147176011</c:v>
                </c:pt>
                <c:pt idx="75">
                  <c:v>38.2353232388952</c:v>
                </c:pt>
                <c:pt idx="76">
                  <c:v>37.9905033675317</c:v>
                </c:pt>
                <c:pt idx="77">
                  <c:v>37.7442307818225</c:v>
                </c:pt>
                <c:pt idx="78">
                  <c:v>37.4964824081395</c:v>
                </c:pt>
                <c:pt idx="79">
                  <c:v>37.2472365497396</c:v>
                </c:pt>
                <c:pt idx="80">
                  <c:v>36.9964730172137</c:v>
                </c:pt>
                <c:pt idx="81">
                  <c:v>36.7441732598957</c:v>
                </c:pt>
                <c:pt idx="82">
                  <c:v>36.4903204975191</c:v>
                </c:pt>
                <c:pt idx="83">
                  <c:v>36.2348998513629</c:v>
                </c:pt>
                <c:pt idx="84">
                  <c:v>35.9778984740928</c:v>
                </c:pt>
                <c:pt idx="85">
                  <c:v>35.7193056774642</c:v>
                </c:pt>
                <c:pt idx="86">
                  <c:v>35.4591130570326</c:v>
                </c:pt>
                <c:pt idx="87">
                  <c:v>35.1973146129945</c:v>
                </c:pt>
                <c:pt idx="88">
                  <c:v>34.9339068662741</c:v>
                </c:pt>
                <c:pt idx="89">
                  <c:v>34.668888968966</c:v>
                </c:pt>
                <c:pt idx="90">
                  <c:v>34.4022628082564</c:v>
                </c:pt>
                <c:pt idx="91">
                  <c:v>34.1340331029564</c:v>
                </c:pt>
                <c:pt idx="92">
                  <c:v>33.864207491814</c:v>
                </c:pt>
                <c:pt idx="93">
                  <c:v>33.5927966128026</c:v>
                </c:pt>
                <c:pt idx="94">
                  <c:v>33.3198141726305</c:v>
                </c:pt>
                <c:pt idx="95">
                  <c:v>33.0452770057714</c:v>
                </c:pt>
                <c:pt idx="96">
                  <c:v>32.7692051223756</c:v>
                </c:pt>
                <c:pt idx="97">
                  <c:v>32.4916217444933</c:v>
                </c:pt>
                <c:pt idx="98">
                  <c:v>32.212553330115</c:v>
                </c:pt>
                <c:pt idx="99">
                  <c:v>31.9320295846177</c:v>
                </c:pt>
                <c:pt idx="100">
                  <c:v>31.6500834592885</c:v>
                </c:pt>
                <c:pt idx="101">
                  <c:v>31.3667511366894</c:v>
                </c:pt>
                <c:pt idx="102">
                  <c:v>31.0820720027128</c:v>
                </c:pt>
                <c:pt idx="103">
                  <c:v>30.7960886052735</c:v>
                </c:pt>
                <c:pt idx="104">
                  <c:v>30.5088465996693</c:v>
                </c:pt>
                <c:pt idx="105">
                  <c:v>30.2203946807324</c:v>
                </c:pt>
                <c:pt idx="106">
                  <c:v>29.9307845019825</c:v>
                </c:pt>
                <c:pt idx="107">
                  <c:v>29.6400705820702</c:v>
                </c:pt>
                <c:pt idx="108">
                  <c:v>29.3483101988789</c:v>
                </c:pt>
                <c:pt idx="109">
                  <c:v>29.0555632717288</c:v>
                </c:pt>
                <c:pt idx="110">
                  <c:v>28.7618922321886</c:v>
                </c:pt>
                <c:pt idx="111">
                  <c:v>28.4673618840637</c:v>
                </c:pt>
                <c:pt idx="112">
                  <c:v>28.172039253186</c:v>
                </c:pt>
                <c:pt idx="113">
                  <c:v>27.8759934276742</c:v>
                </c:pt>
                <c:pt idx="114">
                  <c:v>27.5792953893811</c:v>
                </c:pt>
                <c:pt idx="115">
                  <c:v>27.2820178372745</c:v>
                </c:pt>
                <c:pt idx="116">
                  <c:v>26.9842350035369</c:v>
                </c:pt>
                <c:pt idx="117">
                  <c:v>26.6860224631857</c:v>
                </c:pt>
                <c:pt idx="118">
                  <c:v>26.3874569380444</c:v>
                </c:pt>
                <c:pt idx="119">
                  <c:v>26.0886160959085</c:v>
                </c:pt>
                <c:pt idx="120">
                  <c:v>25.7895783457627</c:v>
                </c:pt>
                <c:pt idx="121">
                  <c:v>25.4904226299168</c:v>
                </c:pt>
                <c:pt idx="122">
                  <c:v>25.1912282139381</c:v>
                </c:pt>
                <c:pt idx="123">
                  <c:v>24.8920744752552</c:v>
                </c:pt>
                <c:pt idx="124">
                  <c:v>24.5930406913219</c:v>
                </c:pt>
                <c:pt idx="125">
                  <c:v>24.2942058282189</c:v>
                </c:pt>
                <c:pt idx="126">
                  <c:v>23.9956483305824</c:v>
                </c:pt>
                <c:pt idx="127">
                  <c:v>23.6974459137348</c:v>
                </c:pt>
                <c:pt idx="128">
                  <c:v>23.3996753588949</c:v>
                </c:pt>
                <c:pt idx="129">
                  <c:v>23.102412312335</c:v>
                </c:pt>
                <c:pt idx="130">
                  <c:v>22.8057310893437</c:v>
                </c:pt>
                <c:pt idx="131">
                  <c:v>22.5097044838373</c:v>
                </c:pt>
                <c:pt idx="132">
                  <c:v>22.2144035844495</c:v>
                </c:pt>
                <c:pt idx="133">
                  <c:v>21.9198975979053</c:v>
                </c:pt>
                <c:pt idx="134">
                  <c:v>21.6262536804622</c:v>
                </c:pt>
                <c:pt idx="135">
                  <c:v>21.3335367781675</c:v>
                </c:pt>
                <c:pt idx="136">
                  <c:v>21.0418094766492</c:v>
                </c:pt>
                <c:pt idx="137">
                  <c:v>20.7511318611115</c:v>
                </c:pt>
                <c:pt idx="138">
                  <c:v>20.4615613871594</c:v>
                </c:pt>
                <c:pt idx="139">
                  <c:v>20.173152763025</c:v>
                </c:pt>
                <c:pt idx="140">
                  <c:v>19.8859578437025</c:v>
                </c:pt>
                <c:pt idx="141">
                  <c:v>19.6000255374366</c:v>
                </c:pt>
                <c:pt idx="142">
                  <c:v>19.3154017249345</c:v>
                </c:pt>
                <c:pt idx="143">
                  <c:v>19.0321291915946</c:v>
                </c:pt>
                <c:pt idx="144">
                  <c:v>18.7502475729623</c:v>
                </c:pt>
                <c:pt idx="145">
                  <c:v>18.4697933135394</c:v>
                </c:pt>
                <c:pt idx="146">
                  <c:v>18.1907996389817</c:v>
                </c:pt>
                <c:pt idx="147">
                  <c:v>17.9132965416319</c:v>
                </c:pt>
                <c:pt idx="148">
                  <c:v>17.6373107792426</c:v>
                </c:pt>
                <c:pt idx="149">
                  <c:v>17.3628658866523</c:v>
                </c:pt>
                <c:pt idx="150">
                  <c:v>17.0899822000938</c:v>
                </c:pt>
                <c:pt idx="151">
                  <c:v>16.8186768937202</c:v>
                </c:pt>
                <c:pt idx="152">
                  <c:v>16.548964027862</c:v>
                </c:pt>
                <c:pt idx="153">
                  <c:v>16.2808546084459</c:v>
                </c:pt>
                <c:pt idx="154">
                  <c:v>16.014356656938</c:v>
                </c:pt>
                <c:pt idx="155">
                  <c:v>15.7494752901158</c:v>
                </c:pt>
                <c:pt idx="156">
                  <c:v>15.4862128089121</c:v>
                </c:pt>
                <c:pt idx="157">
                  <c:v>15.2245687955361</c:v>
                </c:pt>
                <c:pt idx="158">
                  <c:v>14.9645402180343</c:v>
                </c:pt>
                <c:pt idx="159">
                  <c:v>14.7061215414324</c:v>
                </c:pt>
                <c:pt idx="160">
                  <c:v>14.4493048445786</c:v>
                </c:pt>
                <c:pt idx="161">
                  <c:v>14.1940799418021</c:v>
                </c:pt>
                <c:pt idx="162">
                  <c:v>13.9404345085035</c:v>
                </c:pt>
                <c:pt idx="163">
                  <c:v>13.688354209802</c:v>
                </c:pt>
                <c:pt idx="164">
                  <c:v>13.4378228313843</c:v>
                </c:pt>
                <c:pt idx="165">
                  <c:v>13.1888224117277</c:v>
                </c:pt>
                <c:pt idx="166">
                  <c:v>12.9413333748989</c:v>
                </c:pt>
                <c:pt idx="167">
                  <c:v>12.6953346631766</c:v>
                </c:pt>
                <c:pt idx="168">
                  <c:v>12.4508038687841</c:v>
                </c:pt>
                <c:pt idx="169">
                  <c:v>12.2077173640695</c:v>
                </c:pt>
                <c:pt idx="170">
                  <c:v>11.966050429527</c:v>
                </c:pt>
                <c:pt idx="171">
                  <c:v>11.7257773791022</c:v>
                </c:pt>
                <c:pt idx="172">
                  <c:v>11.486871682285</c:v>
                </c:pt>
                <c:pt idx="173">
                  <c:v>11.2493060825511</c:v>
                </c:pt>
                <c:pt idx="174">
                  <c:v>11.0130527117682</c:v>
                </c:pt>
                <c:pt idx="175">
                  <c:v>10.7780832002439</c:v>
                </c:pt>
                <c:pt idx="176">
                  <c:v>10.5443687821437</c:v>
                </c:pt>
                <c:pt idx="177">
                  <c:v>10.3118803960661</c:v>
                </c:pt>
                <c:pt idx="178">
                  <c:v>10.0805887806091</c:v>
                </c:pt>
                <c:pt idx="179">
                  <c:v>9.85046456481257</c:v>
                </c:pt>
                <c:pt idx="180">
                  <c:v>9.62147835340928</c:v>
                </c:pt>
                <c:pt idx="181">
                  <c:v>9.39360080685553</c:v>
                </c:pt>
                <c:pt idx="182">
                  <c:v>9.1668027161535</c:v>
                </c:pt>
                <c:pt idx="183">
                  <c:v>8.94105507251298</c:v>
                </c:pt>
                <c:pt idx="184">
                  <c:v>8.7163291319313</c:v>
                </c:pt>
                <c:pt idx="185">
                  <c:v>8.49259647479822</c:v>
                </c:pt>
                <c:pt idx="186">
                  <c:v>8.2698290606573</c:v>
                </c:pt>
                <c:pt idx="187">
                  <c:v>8.04799927827592</c:v>
                </c:pt>
                <c:pt idx="188">
                  <c:v>7.82707999119524</c:v>
                </c:pt>
                <c:pt idx="189">
                  <c:v>7.60704457894426</c:v>
                </c:pt>
                <c:pt idx="190">
                  <c:v>7.38786697411518</c:v>
                </c:pt>
                <c:pt idx="191">
                  <c:v>7.16952169550509</c:v>
                </c:pt>
                <c:pt idx="192">
                  <c:v>6.95198387753748</c:v>
                </c:pt>
                <c:pt idx="193">
                  <c:v>6.73522929617733</c:v>
                </c:pt>
                <c:pt idx="194">
                  <c:v>6.5192343915611</c:v>
                </c:pt>
                <c:pt idx="195">
                  <c:v>6.30397628755683</c:v>
                </c:pt>
                <c:pt idx="196">
                  <c:v>6.08943280847345</c:v>
                </c:pt>
                <c:pt idx="197">
                  <c:v>5.87558249313239</c:v>
                </c:pt>
                <c:pt idx="198">
                  <c:v>5.6624046065105</c:v>
                </c:pt>
                <c:pt idx="199">
                  <c:v>5.44987914916019</c:v>
                </c:pt>
                <c:pt idx="200">
                  <c:v>5.23798686460304</c:v>
                </c:pt>
                <c:pt idx="201">
                  <c:v>5.02670924488937</c:v>
                </c:pt>
                <c:pt idx="202">
                  <c:v>4.81602853450825</c:v>
                </c:pt>
                <c:pt idx="203">
                  <c:v>4.60592773282088</c:v>
                </c:pt>
                <c:pt idx="204">
                  <c:v>4.39639059518807</c:v>
                </c:pt>
                <c:pt idx="205">
                  <c:v>4.18740163294796</c:v>
                </c:pt>
                <c:pt idx="206">
                  <c:v>3.97894611239711</c:v>
                </c:pt>
                <c:pt idx="207">
                  <c:v>3.77101005291322</c:v>
                </c:pt>
                <c:pt idx="208">
                  <c:v>3.56358022435367</c:v>
                </c:pt>
                <c:pt idx="209">
                  <c:v>3.3566441438559</c:v>
                </c:pt>
                <c:pt idx="210">
                  <c:v>3.15019007215056</c:v>
                </c:pt>
                <c:pt idx="211">
                  <c:v>2.94420700949905</c:v>
                </c:pt>
                <c:pt idx="212">
                  <c:v>2.7386846913515</c:v>
                </c:pt>
                <c:pt idx="213">
                  <c:v>2.5336135838171</c:v>
                </c:pt>
                <c:pt idx="214">
                  <c:v>2.32898487902987</c:v>
                </c:pt>
                <c:pt idx="215">
                  <c:v>2.12479049048456</c:v>
                </c:pt>
                <c:pt idx="216">
                  <c:v>1.92102304841212</c:v>
                </c:pt>
                <c:pt idx="217">
                  <c:v>1.71767589525481</c:v>
                </c:pt>
                <c:pt idx="218">
                  <c:v>1.5147430812955</c:v>
                </c:pt>
                <c:pt idx="219">
                  <c:v>1.31221936048831</c:v>
                </c:pt>
                <c:pt idx="220">
                  <c:v>1.11010018653344</c:v>
                </c:pt>
                <c:pt idx="221">
                  <c:v>0.908381709227962</c:v>
                </c:pt>
                <c:pt idx="222">
                  <c:v>0.70706077112556</c:v>
                </c:pt>
                <c:pt idx="223">
                  <c:v>0.506134904523695</c:v>
                </c:pt>
                <c:pt idx="224">
                  <c:v>0.305602328799552</c:v>
                </c:pt>
                <c:pt idx="225">
                  <c:v>0.105461948102678</c:v>
                </c:pt>
                <c:pt idx="226">
                  <c:v>-0.0942866505859554</c:v>
                </c:pt>
                <c:pt idx="227">
                  <c:v>-0.293643199031528</c:v>
                </c:pt>
                <c:pt idx="228">
                  <c:v>-0.492606748962105</c:v>
                </c:pt>
                <c:pt idx="229">
                  <c:v>-0.69117567293512</c:v>
                </c:pt>
                <c:pt idx="230">
                  <c:v>-0.889347664869727</c:v>
                </c:pt>
                <c:pt idx="231">
                  <c:v>-1.08711974026547</c:v>
                </c:pt>
                <c:pt idx="232">
                  <c:v>-1.28448823613417</c:v>
                </c:pt>
                <c:pt idx="233">
                  <c:v>-1.48144881067548</c:v>
                </c:pt>
                <c:pt idx="234">
                  <c:v>-1.67799644273415</c:v>
                </c:pt>
                <c:pt idx="235">
                  <c:v>-1.87412543108179</c:v>
                </c:pt>
                <c:pt idx="236">
                  <c:v>-2.06982939357059</c:v>
                </c:pt>
                <c:pt idx="237">
                  <c:v>-2.2651012662126</c:v>
                </c:pt>
                <c:pt idx="238">
                  <c:v>-2.45993330224482</c:v>
                </c:pt>
                <c:pt idx="239">
                  <c:v>-2.65431707124457</c:v>
                </c:pt>
                <c:pt idx="240">
                  <c:v>-2.84824345836585</c:v>
                </c:pt>
                <c:pt idx="241">
                  <c:v>-3.04170266377342</c:v>
                </c:pt>
                <c:pt idx="242">
                  <c:v>-3.23468420235736</c:v>
                </c:pt>
                <c:pt idx="243">
                  <c:v>-3.42717690381485</c:v>
                </c:pt>
                <c:pt idx="244">
                  <c:v>-3.61916891319468</c:v>
                </c:pt>
                <c:pt idx="245">
                  <c:v>-3.81064769200133</c:v>
                </c:pt>
                <c:pt idx="246">
                  <c:v>-4.00160001996546</c:v>
                </c:pt>
                <c:pt idx="247">
                  <c:v>-4.19201199758852</c:v>
                </c:pt>
                <c:pt idx="248">
                  <c:v>-4.38186904957668</c:v>
                </c:pt>
                <c:pt idx="249">
                  <c:v>-4.57115592928283</c:v>
                </c:pt>
                <c:pt idx="250">
                  <c:v>-4.75985672427855</c:v>
                </c:pt>
                <c:pt idx="251">
                  <c:v>-4.94795486318301</c:v>
                </c:pt>
                <c:pt idx="252">
                  <c:v>-5.13543312387689</c:v>
                </c:pt>
                <c:pt idx="253">
                  <c:v>-5.32227364323075</c:v>
                </c:pt>
                <c:pt idx="254">
                  <c:v>-5.50845792848158</c:v>
                </c:pt>
                <c:pt idx="255">
                  <c:v>-5.69396687038528</c:v>
                </c:pt>
                <c:pt idx="256">
                  <c:v>-5.87878075827886</c:v>
                </c:pt>
                <c:pt idx="257">
                  <c:v>-6.06287929717529</c:v>
                </c:pt>
                <c:pt idx="258">
                  <c:v>-6.24624162701698</c:v>
                </c:pt>
                <c:pt idx="259">
                  <c:v>-6.42884634420361</c:v>
                </c:pt>
                <c:pt idx="260">
                  <c:v>-6.61067152550458</c:v>
                </c:pt>
                <c:pt idx="261">
                  <c:v>-6.79169475445553</c:v>
                </c:pt>
                <c:pt idx="262">
                  <c:v>-6.9718931503283</c:v>
                </c:pt>
                <c:pt idx="263">
                  <c:v>-7.15124339975006</c:v>
                </c:pt>
                <c:pt idx="264">
                  <c:v>-7.32972179103031</c:v>
                </c:pt>
                <c:pt idx="265">
                  <c:v>-7.50730425123914</c:v>
                </c:pt>
                <c:pt idx="266">
                  <c:v>-7.68396638605689</c:v>
                </c:pt>
                <c:pt idx="267">
                  <c:v>-7.85968352239698</c:v>
                </c:pt>
                <c:pt idx="268">
                  <c:v>-8.03443075377542</c:v>
                </c:pt>
                <c:pt idx="269">
                  <c:v>-8.20818298837729</c:v>
                </c:pt>
                <c:pt idx="270">
                  <c:v>-8.38091499973978</c:v>
                </c:pt>
                <c:pt idx="271">
                  <c:v>-8.55260147994383</c:v>
                </c:pt>
                <c:pt idx="272">
                  <c:v>-8.72321709517357</c:v>
                </c:pt>
                <c:pt idx="273">
                  <c:v>-8.89273654347093</c:v>
                </c:pt>
                <c:pt idx="274">
                  <c:v>-9.06113461448084</c:v>
                </c:pt>
                <c:pt idx="275">
                  <c:v>-9.2283862509492</c:v>
                </c:pt>
                <c:pt idx="276">
                  <c:v>-9.39446661170322</c:v>
                </c:pt>
                <c:pt idx="277">
                  <c:v>-9.55935113581349</c:v>
                </c:pt>
                <c:pt idx="278">
                  <c:v>-9.72301560760698</c:v>
                </c:pt>
                <c:pt idx="279">
                  <c:v>-9.88543622217391</c:v>
                </c:pt>
                <c:pt idx="280">
                  <c:v>-10.0465896509868</c:v>
                </c:pt>
                <c:pt idx="281">
                  <c:v>-10.2064531072324</c:v>
                </c:pt>
                <c:pt idx="282">
                  <c:v>-10.3650044104387</c:v>
                </c:pt>
                <c:pt idx="283">
                  <c:v>-10.5222220499748</c:v>
                </c:pt>
                <c:pt idx="284">
                  <c:v>-10.6780852469914</c:v>
                </c:pt>
                <c:pt idx="285">
                  <c:v>-10.8325740143801</c:v>
                </c:pt>
                <c:pt idx="286">
                  <c:v>-10.9856692143343</c:v>
                </c:pt>
                <c:pt idx="287">
                  <c:v>-11.137352613116</c:v>
                </c:pt>
                <c:pt idx="288">
                  <c:v>-11.2876069326586</c:v>
                </c:pt>
                <c:pt idx="289">
                  <c:v>-11.4364158986673</c:v>
                </c:pt>
                <c:pt idx="290">
                  <c:v>-11.5837642849246</c:v>
                </c:pt>
                <c:pt idx="291">
                  <c:v>-11.7296379535537</c:v>
                </c:pt>
                <c:pt idx="292">
                  <c:v>-11.8740238910523</c:v>
                </c:pt>
                <c:pt idx="293">
                  <c:v>-12.0169102399702</c:v>
                </c:pt>
                <c:pt idx="294">
                  <c:v>-12.1582863261714</c:v>
                </c:pt>
                <c:pt idx="295">
                  <c:v>-12.2981426816966</c:v>
                </c:pt>
                <c:pt idx="296">
                  <c:v>-12.4364710633135</c:v>
                </c:pt>
                <c:pt idx="297">
                  <c:v>-12.573264466921</c:v>
                </c:pt>
                <c:pt idx="298">
                  <c:v>-12.7085171380455</c:v>
                </c:pt>
                <c:pt idx="299">
                  <c:v>-12.8422245787468</c:v>
                </c:pt>
                <c:pt idx="300">
                  <c:v>-12.9743835513141</c:v>
                </c:pt>
                <c:pt idx="301">
                  <c:v>-13.1049920792003</c:v>
                </c:pt>
                <c:pt idx="302">
                  <c:v>-13.2340494456958</c:v>
                </c:pt>
                <c:pt idx="303">
                  <c:v>-13.361556190891</c:v>
                </c:pt>
                <c:pt idx="304">
                  <c:v>-13.4875141075112</c:v>
                </c:pt>
                <c:pt idx="305">
                  <c:v>-13.6119262362321</c:v>
                </c:pt>
                <c:pt idx="306">
                  <c:v>-13.7347968610889</c:v>
                </c:pt>
                <c:pt idx="307">
                  <c:v>-13.8561315055954</c:v>
                </c:pt>
                <c:pt idx="308">
                  <c:v>-13.9759369301642</c:v>
                </c:pt>
                <c:pt idx="309">
                  <c:v>-14.0942211313903</c:v>
                </c:pt>
                <c:pt idx="310">
                  <c:v>-14.2109933437085</c:v>
                </c:pt>
                <c:pt idx="311">
                  <c:v>-14.3262640438807</c:v>
                </c:pt>
                <c:pt idx="312">
                  <c:v>-14.4400449586913</c:v>
                </c:pt>
                <c:pt idx="313">
                  <c:v>-14.5523490761455</c:v>
                </c:pt>
                <c:pt idx="314">
                  <c:v>-14.6631906603788</c:v>
                </c:pt>
                <c:pt idx="315">
                  <c:v>-14.7725852703764</c:v>
                </c:pt>
                <c:pt idx="316">
                  <c:v>-14.8805497825073</c:v>
                </c:pt>
                <c:pt idx="317">
                  <c:v>-14.9871024167638</c:v>
                </c:pt>
                <c:pt idx="318">
                  <c:v>-15.0922627664948</c:v>
                </c:pt>
                <c:pt idx="319">
                  <c:v>-15.1960518313139</c:v>
                </c:pt>
                <c:pt idx="320">
                  <c:v>-15.29849205277</c:v>
                </c:pt>
                <c:pt idx="321">
                  <c:v>-15.3996073522684</c:v>
                </c:pt>
                <c:pt idx="322">
                  <c:v>-15.4994231706532</c:v>
                </c:pt>
                <c:pt idx="323">
                  <c:v>-15.5979665087892</c:v>
                </c:pt>
                <c:pt idx="324">
                  <c:v>-15.6952659684185</c:v>
                </c:pt>
                <c:pt idx="325">
                  <c:v>-15.7913517925263</c:v>
                </c:pt>
                <c:pt idx="326">
                  <c:v>-15.8862559044117</c:v>
                </c:pt>
                <c:pt idx="327">
                  <c:v>-15.9800119446483</c:v>
                </c:pt>
                <c:pt idx="328">
                  <c:v>-16.072655305112</c:v>
                </c:pt>
                <c:pt idx="329">
                  <c:v>-16.1642231592669</c:v>
                </c:pt>
                <c:pt idx="330">
                  <c:v>-16.2547544879227</c:v>
                </c:pt>
                <c:pt idx="331">
                  <c:v>-16.3442900997156</c:v>
                </c:pt>
                <c:pt idx="332">
                  <c:v>-16.4328726456148</c:v>
                </c:pt>
                <c:pt idx="333">
                  <c:v>-16.5205466268078</c:v>
                </c:pt>
                <c:pt idx="334">
                  <c:v>-16.6073583953934</c:v>
                </c:pt>
                <c:pt idx="335">
                  <c:v>-16.6933561473749</c:v>
                </c:pt>
                <c:pt idx="336">
                  <c:v>-16.7785899075311</c:v>
                </c:pt>
                <c:pt idx="337">
                  <c:v>-16.8631115058171</c:v>
                </c:pt>
                <c:pt idx="338">
                  <c:v>-16.9469745450319</c:v>
                </c:pt>
                <c:pt idx="339">
                  <c:v>-17.0302343595739</c:v>
                </c:pt>
                <c:pt idx="340">
                  <c:v>-17.1129479651816</c:v>
                </c:pt>
                <c:pt idx="341">
                  <c:v>-17.195173999637</c:v>
                </c:pt>
                <c:pt idx="342">
                  <c:v>-17.2769726544876</c:v>
                </c:pt>
                <c:pt idx="343">
                  <c:v>-17.3584055979067</c:v>
                </c:pt>
                <c:pt idx="344">
                  <c:v>-17.4395358888847</c:v>
                </c:pt>
                <c:pt idx="345">
                  <c:v>-17.5204278829989</c:v>
                </c:pt>
                <c:pt idx="346">
                  <c:v>-17.6011471300694</c:v>
                </c:pt>
                <c:pt idx="347">
                  <c:v>-17.681760264058</c:v>
                </c:pt>
                <c:pt idx="348">
                  <c:v>-17.7623348856102</c:v>
                </c:pt>
                <c:pt idx="349">
                  <c:v>-17.8429394376856</c:v>
                </c:pt>
                <c:pt idx="350">
                  <c:v>-17.9236430747547</c:v>
                </c:pt>
                <c:pt idx="351">
                  <c:v>-18.004515526076</c:v>
                </c:pt>
                <c:pt idx="352">
                  <c:v>-18.085626953595</c:v>
                </c:pt>
                <c:pt idx="353">
                  <c:v>-18.1670478050352</c:v>
                </c:pt>
                <c:pt idx="354">
                  <c:v>-18.2488486627758</c:v>
                </c:pt>
                <c:pt idx="355">
                  <c:v>-18.3311000891318</c:v>
                </c:pt>
                <c:pt idx="356">
                  <c:v>-18.4138724686777</c:v>
                </c:pt>
                <c:pt idx="357">
                  <c:v>-18.4972358482717</c:v>
                </c:pt>
                <c:pt idx="358">
                  <c:v>-18.5812597754602</c:v>
                </c:pt>
                <c:pt idx="359">
                  <c:v>-18.6660131359584</c:v>
                </c:pt>
                <c:pt idx="360">
                  <c:v>-18.7515639909209</c:v>
                </c:pt>
                <c:pt idx="361">
                  <c:v>-18.8379794147312</c:v>
                </c:pt>
                <c:pt idx="362">
                  <c:v>-18.9253253340525</c:v>
                </c:pt>
                <c:pt idx="363">
                  <c:v>-19.0136663688944</c:v>
                </c:pt>
                <c:pt idx="364">
                  <c:v>-19.1030656764597</c:v>
                </c:pt>
                <c:pt idx="365">
                  <c:v>-19.1935847985389</c:v>
                </c:pt>
                <c:pt idx="366">
                  <c:v>-19.2852835132231</c:v>
                </c:pt>
                <c:pt idx="367">
                  <c:v>-19.3782196917034</c:v>
                </c:pt>
                <c:pt idx="368">
                  <c:v>-19.4724491609154</c:v>
                </c:pt>
                <c:pt idx="369">
                  <c:v>-19.5680255727732</c:v>
                </c:pt>
                <c:pt idx="370">
                  <c:v>-19.6650002807173</c:v>
                </c:pt>
                <c:pt idx="371">
                  <c:v>-19.7634222242738</c:v>
                </c:pt>
                <c:pt idx="372">
                  <c:v>-19.8633378222866</c:v>
                </c:pt>
                <c:pt idx="373">
                  <c:v>-19.9647908754413</c:v>
                </c:pt>
                <c:pt idx="374">
                  <c:v>-20.0678224786535</c:v>
                </c:pt>
                <c:pt idx="375">
                  <c:v>-20.1724709438332</c:v>
                </c:pt>
                <c:pt idx="376">
                  <c:v>-20.2787717334765</c:v>
                </c:pt>
                <c:pt idx="377">
                  <c:v>-20.3867574054646</c:v>
                </c:pt>
                <c:pt idx="378">
                  <c:v>-20.4964575693726</c:v>
                </c:pt>
                <c:pt idx="379">
                  <c:v>-20.607898854513</c:v>
                </c:pt>
                <c:pt idx="380">
                  <c:v>-20.7211048898501</c:v>
                </c:pt>
                <c:pt idx="381">
                  <c:v>-20.8360962958367</c:v>
                </c:pt>
                <c:pt idx="382">
                  <c:v>-20.9528906881326</c:v>
                </c:pt>
                <c:pt idx="383">
                  <c:v>-21.0715026930758</c:v>
                </c:pt>
                <c:pt idx="384">
                  <c:v>-21.1919439746876</c:v>
                </c:pt>
                <c:pt idx="385">
                  <c:v>-21.3142232729051</c:v>
                </c:pt>
                <c:pt idx="386">
                  <c:v>-21.4383464526511</c:v>
                </c:pt>
                <c:pt idx="387">
                  <c:v>-21.5643165632747</c:v>
                </c:pt>
                <c:pt idx="388">
                  <c:v>-21.6921339078166</c:v>
                </c:pt>
                <c:pt idx="389">
                  <c:v>-21.8217961214941</c:v>
                </c:pt>
                <c:pt idx="390">
                  <c:v>-21.9532982587363</c:v>
                </c:pt>
                <c:pt idx="391">
                  <c:v>-22.0866328880517</c:v>
                </c:pt>
                <c:pt idx="392">
                  <c:v>-22.2217901939677</c:v>
                </c:pt>
                <c:pt idx="393">
                  <c:v>-22.3587580852517</c:v>
                </c:pt>
                <c:pt idx="394">
                  <c:v>-22.4975223085971</c:v>
                </c:pt>
                <c:pt idx="395">
                  <c:v>-22.6380665669464</c:v>
                </c:pt>
                <c:pt idx="396">
                  <c:v>-22.7803726416192</c:v>
                </c:pt>
                <c:pt idx="397">
                  <c:v>-22.9244205174171</c:v>
                </c:pt>
                <c:pt idx="398">
                  <c:v>-23.0701885098929</c:v>
                </c:pt>
                <c:pt idx="399">
                  <c:v>-23.2176533939891</c:v>
                </c:pt>
                <c:pt idx="400">
                  <c:v>-23.3667905332837</c:v>
                </c:pt>
                <c:pt idx="401">
                  <c:v>-23.5175740091142</c:v>
                </c:pt>
                <c:pt idx="402">
                  <c:v>-23.6699767488908</c:v>
                </c:pt>
                <c:pt idx="403">
                  <c:v>-23.8239706529571</c:v>
                </c:pt>
                <c:pt idx="404">
                  <c:v>-23.9795267194036</c:v>
                </c:pt>
                <c:pt idx="405">
                  <c:v>-24.1366151662942</c:v>
                </c:pt>
                <c:pt idx="406">
                  <c:v>-24.2952055508177</c:v>
                </c:pt>
                <c:pt idx="407">
                  <c:v>-24.4552668849318</c:v>
                </c:pt>
                <c:pt idx="408">
                  <c:v>-24.6167677471251</c:v>
                </c:pt>
                <c:pt idx="409">
                  <c:v>-24.7796763899759</c:v>
                </c:pt>
                <c:pt idx="410">
                  <c:v>-24.9439608432407</c:v>
                </c:pt>
                <c:pt idx="411">
                  <c:v>-25.1095890122605</c:v>
                </c:pt>
                <c:pt idx="412">
                  <c:v>-25.2765287715213</c:v>
                </c:pt>
                <c:pt idx="413">
                  <c:v>-25.4447480532537</c:v>
                </c:pt>
                <c:pt idx="414">
                  <c:v>-25.6142149310042</c:v>
                </c:pt>
                <c:pt idx="415">
                  <c:v>-25.7848976981485</c:v>
                </c:pt>
                <c:pt idx="416">
                  <c:v>-25.9567649413611</c:v>
                </c:pt>
                <c:pt idx="417">
                  <c:v>-26.1297856090862</c:v>
                </c:pt>
                <c:pt idx="418">
                  <c:v>-26.3039290750889</c:v>
                </c:pt>
                <c:pt idx="419">
                  <c:v>-26.4791651971946</c:v>
                </c:pt>
                <c:pt idx="420">
                  <c:v>-26.655464371347</c:v>
                </c:pt>
                <c:pt idx="421">
                  <c:v>-26.8327975811392</c:v>
                </c:pt>
                <c:pt idx="422">
                  <c:v>-27.0111364429867</c:v>
                </c:pt>
                <c:pt idx="423">
                  <c:v>-27.1904532471309</c:v>
                </c:pt>
                <c:pt idx="424">
                  <c:v>-27.3707209946683</c:v>
                </c:pt>
                <c:pt idx="425">
                  <c:v>-27.5519134308151</c:v>
                </c:pt>
                <c:pt idx="426">
                  <c:v>-27.7340050746188</c:v>
                </c:pt>
                <c:pt idx="427">
                  <c:v>-27.9169712453354</c:v>
                </c:pt>
                <c:pt idx="428">
                  <c:v>-28.1007880856936</c:v>
                </c:pt>
                <c:pt idx="429">
                  <c:v>-28.2854325822646</c:v>
                </c:pt>
                <c:pt idx="430">
                  <c:v>-28.4708825831584</c:v>
                </c:pt>
                <c:pt idx="431">
                  <c:v>-28.6571168132604</c:v>
                </c:pt>
                <c:pt idx="432">
                  <c:v>-28.8441148872232</c:v>
                </c:pt>
                <c:pt idx="433">
                  <c:v>-29.031857320418</c:v>
                </c:pt>
                <c:pt idx="434">
                  <c:v>-29.2203255380462</c:v>
                </c:pt>
                <c:pt idx="435">
                  <c:v>-29.4095018826048</c:v>
                </c:pt>
                <c:pt idx="436">
                  <c:v>-29.599369619892</c:v>
                </c:pt>
                <c:pt idx="437">
                  <c:v>-29.7899129437274</c:v>
                </c:pt>
                <c:pt idx="438">
                  <c:v>-29.9811169795598</c:v>
                </c:pt>
                <c:pt idx="439">
                  <c:v>-30.1729677871175</c:v>
                </c:pt>
                <c:pt idx="440">
                  <c:v>-30.3654523622556</c:v>
                </c:pt>
                <c:pt idx="441">
                  <c:v>-30.55855863814</c:v>
                </c:pt>
                <c:pt idx="442">
                  <c:v>-30.7522754858986</c:v>
                </c:pt>
                <c:pt idx="443">
                  <c:v>-30.9465927148669</c:v>
                </c:pt>
                <c:pt idx="444">
                  <c:v>-31.1415010725357</c:v>
                </c:pt>
                <c:pt idx="445">
                  <c:v>-31.3369922443105</c:v>
                </c:pt>
                <c:pt idx="446">
                  <c:v>-31.5330588531728</c:v>
                </c:pt>
                <c:pt idx="447">
                  <c:v>-31.7296944593351</c:v>
                </c:pt>
                <c:pt idx="448">
                  <c:v>-31.9268935599605</c:v>
                </c:pt>
                <c:pt idx="449">
                  <c:v>-32.1246515890218</c:v>
                </c:pt>
                <c:pt idx="450">
                  <c:v>-32.3229649173553</c:v>
                </c:pt>
                <c:pt idx="451">
                  <c:v>-32.5218308529639</c:v>
                </c:pt>
                <c:pt idx="452">
                  <c:v>-32.7212476416113</c:v>
                </c:pt>
                <c:pt idx="453">
                  <c:v>-32.9212144677428</c:v>
                </c:pt>
                <c:pt idx="454">
                  <c:v>-33.1217314557599</c:v>
                </c:pt>
                <c:pt idx="455">
                  <c:v>-33.3227996716678</c:v>
                </c:pt>
                <c:pt idx="456">
                  <c:v>-33.5244211251046</c:v>
                </c:pt>
                <c:pt idx="457">
                  <c:v>-33.7265987717579</c:v>
                </c:pt>
                <c:pt idx="458">
                  <c:v>-33.9293365161619</c:v>
                </c:pt>
                <c:pt idx="459">
                  <c:v>-34.132639214862</c:v>
                </c:pt>
                <c:pt idx="460">
                  <c:v>-34.3365126799254</c:v>
                </c:pt>
                <c:pt idx="461">
                  <c:v>-34.5409636827698</c:v>
                </c:pt>
                <c:pt idx="462">
                  <c:v>-34.7459999582699</c:v>
                </c:pt>
                <c:pt idx="463">
                  <c:v>-34.951630209098</c:v>
                </c:pt>
                <c:pt idx="464">
                  <c:v>-35.1578641102433</c:v>
                </c:pt>
                <c:pt idx="465">
                  <c:v>-35.3647123136473</c:v>
                </c:pt>
                <c:pt idx="466">
                  <c:v>-35.5721864528829</c:v>
                </c:pt>
                <c:pt idx="467">
                  <c:v>-35.7802991477971</c:v>
                </c:pt>
                <c:pt idx="468">
                  <c:v>-35.9890640090287</c:v>
                </c:pt>
                <c:pt idx="469">
                  <c:v>-36.1984956423004</c:v>
                </c:pt>
                <c:pt idx="470">
                  <c:v>-36.4086096523798</c:v>
                </c:pt>
                <c:pt idx="471">
                  <c:v>-36.6194226465901</c:v>
                </c:pt>
                <c:pt idx="472">
                  <c:v>-36.8309522377461</c:v>
                </c:pt>
                <c:pt idx="473">
                  <c:v>-37.0432170463785</c:v>
                </c:pt>
                <c:pt idx="474">
                  <c:v>-37.2562367021034</c:v>
                </c:pt>
                <c:pt idx="475">
                  <c:v>-37.4700318439806</c:v>
                </c:pt>
                <c:pt idx="476">
                  <c:v>-37.6846241196997</c:v>
                </c:pt>
                <c:pt idx="477">
                  <c:v>-37.9000361834235</c:v>
                </c:pt>
                <c:pt idx="478">
                  <c:v>-38.1162916921061</c:v>
                </c:pt>
                <c:pt idx="479">
                  <c:v>-38.3334153001016</c:v>
                </c:pt>
                <c:pt idx="480">
                  <c:v>-38.5514326518681</c:v>
                </c:pt>
                <c:pt idx="481">
                  <c:v>-38.7703703725655</c:v>
                </c:pt>
                <c:pt idx="482">
                  <c:v>-38.9902560563434</c:v>
                </c:pt>
                <c:pt idx="483">
                  <c:v>-39.2111182521077</c:v>
                </c:pt>
                <c:pt idx="484">
                  <c:v>-39.4329864465555</c:v>
                </c:pt>
                <c:pt idx="485">
                  <c:v>-39.6558910442597</c:v>
                </c:pt>
                <c:pt idx="486">
                  <c:v>-39.8798633445973</c:v>
                </c:pt>
                <c:pt idx="487">
                  <c:v>-40.1049355153013</c:v>
                </c:pt>
                <c:pt idx="488">
                  <c:v>-40.3311405624374</c:v>
                </c:pt>
                <c:pt idx="489">
                  <c:v>-40.5585122965986</c:v>
                </c:pt>
                <c:pt idx="490">
                  <c:v>-40.7870852951327</c:v>
                </c:pt>
                <c:pt idx="491">
                  <c:v>-41.016894860218</c:v>
                </c:pt>
                <c:pt idx="492">
                  <c:v>-41.2479769726283</c:v>
                </c:pt>
                <c:pt idx="493">
                  <c:v>-41.4803682410375</c:v>
                </c:pt>
                <c:pt idx="494">
                  <c:v>-41.7141058467399</c:v>
                </c:pt>
                <c:pt idx="495">
                  <c:v>-41.9492274836878</c:v>
                </c:pt>
                <c:pt idx="496">
                  <c:v>-42.18577129377</c:v>
                </c:pt>
                <c:pt idx="497">
                  <c:v>-42.4237757972946</c:v>
                </c:pt>
                <c:pt idx="498">
                  <c:v>-42.663279818666</c:v>
                </c:pt>
                <c:pt idx="499">
                  <c:v>-42.904322407291</c:v>
                </c:pt>
                <c:pt idx="500">
                  <c:v>-43.1469427537853</c:v>
                </c:pt>
                <c:pt idx="501">
                  <c:v>-43.3911801015984</c:v>
                </c:pt>
                <c:pt idx="502">
                  <c:v>-43.6370736542227</c:v>
                </c:pt>
                <c:pt idx="503">
                  <c:v>-43.8846624781967</c:v>
                </c:pt>
                <c:pt idx="504">
                  <c:v>-44.1339854021725</c:v>
                </c:pt>
                <c:pt idx="505">
                  <c:v>-44.3850809123606</c:v>
                </c:pt>
                <c:pt idx="506">
                  <c:v>-44.637987044723</c:v>
                </c:pt>
                <c:pt idx="507">
                  <c:v>-44.8927412743402</c:v>
                </c:pt>
                <c:pt idx="508">
                  <c:v>-45.1493804024258</c:v>
                </c:pt>
                <c:pt idx="509">
                  <c:v>-45.4079404415161</c:v>
                </c:pt>
                <c:pt idx="510">
                  <c:v>-45.6684564994107</c:v>
                </c:pt>
                <c:pt idx="511">
                  <c:v>-45.9309626624828</c:v>
                </c:pt>
                <c:pt idx="512">
                  <c:v>-46.1954918790229</c:v>
                </c:pt>
                <c:pt idx="513">
                  <c:v>-46.4620758433099</c:v>
                </c:pt>
                <c:pt idx="514">
                  <c:v>-46.7307448811407</c:v>
                </c:pt>
                <c:pt idx="515">
                  <c:v>-47.0015278375639</c:v>
                </c:pt>
                <c:pt idx="516">
                  <c:v>-47.2744519675866</c:v>
                </c:pt>
                <c:pt idx="517">
                  <c:v>-47.549542830626</c:v>
                </c:pt>
                <c:pt idx="518">
                  <c:v>-47.8268241894757</c:v>
                </c:pt>
                <c:pt idx="519">
                  <c:v>-48.1063179145483</c:v>
                </c:pt>
                <c:pt idx="520">
                  <c:v>-48.3880438941349</c:v>
                </c:pt>
                <c:pt idx="521">
                  <c:v>-48.6720199513889</c:v>
                </c:pt>
                <c:pt idx="522">
                  <c:v>-48.9582617687069</c:v>
                </c:pt>
                <c:pt idx="523">
                  <c:v>-49.2467828201277</c:v>
                </c:pt>
                <c:pt idx="524">
                  <c:v>-49.5375943123133</c:v>
                </c:pt>
                <c:pt idx="525">
                  <c:v>-49.8307051346118</c:v>
                </c:pt>
                <c:pt idx="526">
                  <c:v>-50.1261218186236</c:v>
                </c:pt>
                <c:pt idx="527">
                  <c:v>-50.4238485076235</c:v>
                </c:pt>
                <c:pt idx="528">
                  <c:v>-50.7238869360927</c:v>
                </c:pt>
                <c:pt idx="529">
                  <c:v>-51.0262364195394</c:v>
                </c:pt>
                <c:pt idx="530">
                  <c:v>-51.3308938546845</c:v>
                </c:pt>
                <c:pt idx="531">
                  <c:v>-51.6378537300037</c:v>
                </c:pt>
                <c:pt idx="532">
                  <c:v>-51.9471081465209</c:v>
                </c:pt>
                <c:pt idx="533">
                  <c:v>-52.2586468486581</c:v>
                </c:pt>
                <c:pt idx="534">
                  <c:v>-52.5724572648582</c:v>
                </c:pt>
                <c:pt idx="535">
                  <c:v>-52.8885245576159</c:v>
                </c:pt>
                <c:pt idx="536">
                  <c:v>-53.2068316824679</c:v>
                </c:pt>
                <c:pt idx="537">
                  <c:v>-53.5273594554304</c:v>
                </c:pt>
                <c:pt idx="538">
                  <c:v>-53.8500866283001</c:v>
                </c:pt>
                <c:pt idx="539">
                  <c:v>-54.1749899711835</c:v>
                </c:pt>
                <c:pt idx="540">
                  <c:v>-54.5020443615696</c:v>
                </c:pt>
                <c:pt idx="541">
                  <c:v>-54.831222879228</c:v>
                </c:pt>
              </c:numCache>
            </c:numRef>
          </c:yVal>
          <c:smooth val="1"/>
        </c:ser>
        <c:dLbls>
          <c:showLegendKey val="0"/>
          <c:showVal val="0"/>
          <c:showCatName val="0"/>
          <c:showSerName val="0"/>
          <c:showPercent val="0"/>
          <c:showBubbleSize val="0"/>
        </c:dLbls>
        <c:axId val="178953600"/>
        <c:axId val="178959872"/>
      </c:scatterChart>
      <c:scatterChart>
        <c:scatterStyle val="smooth"/>
        <c:varyColors val="0"/>
        <c:ser>
          <c:idx val="1"/>
          <c:order val="1"/>
          <c:spPr>
            <a:ln w="38100" cap="rnd" cmpd="sng" algn="ctr">
              <a:solidFill>
                <a:schemeClr val="tx1">
                  <a:lumMod val="95000"/>
                  <a:lumOff val="5000"/>
                </a:schemeClr>
              </a:solidFill>
              <a:prstDash val="sysDash"/>
              <a:round/>
            </a:ln>
          </c:spPr>
          <c:marker>
            <c:symbol val="none"/>
          </c:marker>
          <c:dLbls>
            <c:delete val="1"/>
          </c:dLbls>
          <c:xVal>
            <c:numRef>
              <c:f>Loop_Modeling!$O$19:$O$560</c:f>
              <c:numCache>
                <c:formatCode>0.00</c:formatCode>
                <c:ptCount val="542"/>
                <c:pt idx="0">
                  <c:v>10.2329299228075</c:v>
                </c:pt>
                <c:pt idx="1">
                  <c:v>10.471285480509</c:v>
                </c:pt>
                <c:pt idx="2">
                  <c:v>10.7151930523761</c:v>
                </c:pt>
                <c:pt idx="3">
                  <c:v>10.9647819614319</c:v>
                </c:pt>
                <c:pt idx="4">
                  <c:v>11.2201845430196</c:v>
                </c:pt>
                <c:pt idx="5">
                  <c:v>11.4815362149688</c:v>
                </c:pt>
                <c:pt idx="6">
                  <c:v>11.7489755493953</c:v>
                </c:pt>
                <c:pt idx="7">
                  <c:v>12.0226443461741</c:v>
                </c:pt>
                <c:pt idx="8">
                  <c:v>12.3026877081238</c:v>
                </c:pt>
                <c:pt idx="9">
                  <c:v>12.5892541179417</c:v>
                </c:pt>
                <c:pt idx="10">
                  <c:v>12.8824955169313</c:v>
                </c:pt>
                <c:pt idx="11">
                  <c:v>13.1825673855641</c:v>
                </c:pt>
                <c:pt idx="12">
                  <c:v>13.4896288259165</c:v>
                </c:pt>
                <c:pt idx="13">
                  <c:v>13.8038426460289</c:v>
                </c:pt>
                <c:pt idx="14">
                  <c:v>14.1253754462275</c:v>
                </c:pt>
                <c:pt idx="15">
                  <c:v>14.4543977074593</c:v>
                </c:pt>
                <c:pt idx="16">
                  <c:v>14.7910838816821</c:v>
                </c:pt>
                <c:pt idx="17">
                  <c:v>15.1356124843621</c:v>
                </c:pt>
                <c:pt idx="18">
                  <c:v>15.4881661891248</c:v>
                </c:pt>
                <c:pt idx="19">
                  <c:v>15.8489319246111</c:v>
                </c:pt>
                <c:pt idx="20">
                  <c:v>16.2181009735893</c:v>
                </c:pt>
                <c:pt idx="21">
                  <c:v>16.5958690743756</c:v>
                </c:pt>
                <c:pt idx="22">
                  <c:v>16.9824365246174</c:v>
                </c:pt>
                <c:pt idx="23">
                  <c:v>17.3780082874938</c:v>
                </c:pt>
                <c:pt idx="24">
                  <c:v>17.7827941003892</c:v>
                </c:pt>
                <c:pt idx="25">
                  <c:v>18.1970085860998</c:v>
                </c:pt>
                <c:pt idx="26">
                  <c:v>18.6208713666287</c:v>
                </c:pt>
                <c:pt idx="27">
                  <c:v>19.0546071796325</c:v>
                </c:pt>
                <c:pt idx="28">
                  <c:v>19.4984459975805</c:v>
                </c:pt>
                <c:pt idx="29">
                  <c:v>19.9526231496888</c:v>
                </c:pt>
                <c:pt idx="30">
                  <c:v>20.4173794466953</c:v>
                </c:pt>
                <c:pt idx="31">
                  <c:v>20.8929613085404</c:v>
                </c:pt>
                <c:pt idx="32">
                  <c:v>21.3796208950223</c:v>
                </c:pt>
                <c:pt idx="33">
                  <c:v>21.8776162394955</c:v>
                </c:pt>
                <c:pt idx="34">
                  <c:v>22.3872113856834</c:v>
                </c:pt>
                <c:pt idx="35">
                  <c:v>22.9086765276777</c:v>
                </c:pt>
                <c:pt idx="36">
                  <c:v>23.4422881531992</c:v>
                </c:pt>
                <c:pt idx="37">
                  <c:v>23.9883291901949</c:v>
                </c:pt>
                <c:pt idx="38">
                  <c:v>24.5470891568503</c:v>
                </c:pt>
                <c:pt idx="39">
                  <c:v>25.1188643150958</c:v>
                </c:pt>
                <c:pt idx="40">
                  <c:v>25.7039578276886</c:v>
                </c:pt>
                <c:pt idx="41">
                  <c:v>26.3026799189538</c:v>
                </c:pt>
                <c:pt idx="42">
                  <c:v>26.9153480392692</c:v>
                </c:pt>
                <c:pt idx="43">
                  <c:v>27.5422870333817</c:v>
                </c:pt>
                <c:pt idx="44">
                  <c:v>28.1838293126445</c:v>
                </c:pt>
                <c:pt idx="45">
                  <c:v>28.8403150312661</c:v>
                </c:pt>
                <c:pt idx="46">
                  <c:v>29.5120922666639</c:v>
                </c:pt>
                <c:pt idx="47">
                  <c:v>30.1995172040202</c:v>
                </c:pt>
                <c:pt idx="48">
                  <c:v>30.9029543251359</c:v>
                </c:pt>
                <c:pt idx="49">
                  <c:v>31.6227766016838</c:v>
                </c:pt>
                <c:pt idx="50">
                  <c:v>32.3593656929628</c:v>
                </c:pt>
                <c:pt idx="51">
                  <c:v>33.1131121482591</c:v>
                </c:pt>
                <c:pt idx="52">
                  <c:v>33.8844156139203</c:v>
                </c:pt>
                <c:pt idx="53">
                  <c:v>34.6736850452532</c:v>
                </c:pt>
                <c:pt idx="54">
                  <c:v>35.4813389233576</c:v>
                </c:pt>
                <c:pt idx="55">
                  <c:v>36.3078054770102</c:v>
                </c:pt>
                <c:pt idx="56">
                  <c:v>37.1535229097173</c:v>
                </c:pt>
                <c:pt idx="57">
                  <c:v>38.0189396320561</c:v>
                </c:pt>
                <c:pt idx="58">
                  <c:v>38.9045144994281</c:v>
                </c:pt>
                <c:pt idx="59">
                  <c:v>39.8107170553498</c:v>
                </c:pt>
                <c:pt idx="60">
                  <c:v>40.7380277804113</c:v>
                </c:pt>
                <c:pt idx="61">
                  <c:v>41.6869383470336</c:v>
                </c:pt>
                <c:pt idx="62">
                  <c:v>42.6579518801593</c:v>
                </c:pt>
                <c:pt idx="63">
                  <c:v>43.6515832240166</c:v>
                </c:pt>
                <c:pt idx="64">
                  <c:v>44.6683592150963</c:v>
                </c:pt>
                <c:pt idx="65">
                  <c:v>45.7088189614875</c:v>
                </c:pt>
                <c:pt idx="66">
                  <c:v>46.7735141287198</c:v>
                </c:pt>
                <c:pt idx="67">
                  <c:v>47.8630092322639</c:v>
                </c:pt>
                <c:pt idx="68">
                  <c:v>48.9778819368446</c:v>
                </c:pt>
                <c:pt idx="69">
                  <c:v>50.1187233627272</c:v>
                </c:pt>
                <c:pt idx="70">
                  <c:v>51.2861383991365</c:v>
                </c:pt>
                <c:pt idx="71">
                  <c:v>52.4807460249773</c:v>
                </c:pt>
                <c:pt idx="72">
                  <c:v>53.7031796370253</c:v>
                </c:pt>
                <c:pt idx="73">
                  <c:v>54.9540873857625</c:v>
                </c:pt>
                <c:pt idx="74">
                  <c:v>56.2341325190349</c:v>
                </c:pt>
                <c:pt idx="75">
                  <c:v>57.5439937337157</c:v>
                </c:pt>
                <c:pt idx="76">
                  <c:v>58.8843655355589</c:v>
                </c:pt>
                <c:pt idx="77">
                  <c:v>60.2559586074358</c:v>
                </c:pt>
                <c:pt idx="78">
                  <c:v>61.6595001861483</c:v>
                </c:pt>
                <c:pt idx="79">
                  <c:v>63.0957344480194</c:v>
                </c:pt>
                <c:pt idx="80">
                  <c:v>64.5654229034656</c:v>
                </c:pt>
                <c:pt idx="81">
                  <c:v>66.0693448007596</c:v>
                </c:pt>
                <c:pt idx="82">
                  <c:v>67.6082975391982</c:v>
                </c:pt>
                <c:pt idx="83">
                  <c:v>69.1830970918937</c:v>
                </c:pt>
                <c:pt idx="84">
                  <c:v>70.7945784384139</c:v>
                </c:pt>
                <c:pt idx="85">
                  <c:v>72.443596007499</c:v>
                </c:pt>
                <c:pt idx="86">
                  <c:v>74.1310241300918</c:v>
                </c:pt>
                <c:pt idx="87">
                  <c:v>75.8577575029184</c:v>
                </c:pt>
                <c:pt idx="88">
                  <c:v>77.6247116628692</c:v>
                </c:pt>
                <c:pt idx="89">
                  <c:v>79.4328234724282</c:v>
                </c:pt>
                <c:pt idx="90">
                  <c:v>81.28305161641</c:v>
                </c:pt>
                <c:pt idx="91">
                  <c:v>83.1763771102671</c:v>
                </c:pt>
                <c:pt idx="92">
                  <c:v>85.1138038202377</c:v>
                </c:pt>
                <c:pt idx="93">
                  <c:v>87.0963589956081</c:v>
                </c:pt>
                <c:pt idx="94">
                  <c:v>89.1250938133746</c:v>
                </c:pt>
                <c:pt idx="95">
                  <c:v>91.201083935591</c:v>
                </c:pt>
                <c:pt idx="96">
                  <c:v>93.3254300796992</c:v>
                </c:pt>
                <c:pt idx="97">
                  <c:v>95.4992586021437</c:v>
                </c:pt>
                <c:pt idx="98">
                  <c:v>97.7237220955811</c:v>
                </c:pt>
                <c:pt idx="99">
                  <c:v>100</c:v>
                </c:pt>
                <c:pt idx="100">
                  <c:v>102.329299228075</c:v>
                </c:pt>
                <c:pt idx="101">
                  <c:v>104.71285480509</c:v>
                </c:pt>
                <c:pt idx="102">
                  <c:v>107.151930523761</c:v>
                </c:pt>
                <c:pt idx="103">
                  <c:v>109.647819614319</c:v>
                </c:pt>
                <c:pt idx="104">
                  <c:v>112.201845430196</c:v>
                </c:pt>
                <c:pt idx="105">
                  <c:v>114.815362149688</c:v>
                </c:pt>
                <c:pt idx="106">
                  <c:v>117.489755493953</c:v>
                </c:pt>
                <c:pt idx="107">
                  <c:v>120.226443461741</c:v>
                </c:pt>
                <c:pt idx="108">
                  <c:v>123.026877081238</c:v>
                </c:pt>
                <c:pt idx="109">
                  <c:v>125.892541179417</c:v>
                </c:pt>
                <c:pt idx="110">
                  <c:v>128.824955169313</c:v>
                </c:pt>
                <c:pt idx="111">
                  <c:v>131.825673855641</c:v>
                </c:pt>
                <c:pt idx="112">
                  <c:v>134.896288259165</c:v>
                </c:pt>
                <c:pt idx="113">
                  <c:v>138.038426460289</c:v>
                </c:pt>
                <c:pt idx="114">
                  <c:v>141.253754462275</c:v>
                </c:pt>
                <c:pt idx="115">
                  <c:v>144.543977074593</c:v>
                </c:pt>
                <c:pt idx="116">
                  <c:v>147.910838816821</c:v>
                </c:pt>
                <c:pt idx="117">
                  <c:v>151.356124843621</c:v>
                </c:pt>
                <c:pt idx="118">
                  <c:v>154.881661891248</c:v>
                </c:pt>
                <c:pt idx="119">
                  <c:v>158.489319246112</c:v>
                </c:pt>
                <c:pt idx="120">
                  <c:v>162.181009735893</c:v>
                </c:pt>
                <c:pt idx="121">
                  <c:v>165.958690743756</c:v>
                </c:pt>
                <c:pt idx="122">
                  <c:v>169.824365246174</c:v>
                </c:pt>
                <c:pt idx="123">
                  <c:v>173.780082874938</c:v>
                </c:pt>
                <c:pt idx="124">
                  <c:v>177.827941003892</c:v>
                </c:pt>
                <c:pt idx="125">
                  <c:v>181.970085860998</c:v>
                </c:pt>
                <c:pt idx="126">
                  <c:v>186.208713666287</c:v>
                </c:pt>
                <c:pt idx="127">
                  <c:v>190.546071796325</c:v>
                </c:pt>
                <c:pt idx="128">
                  <c:v>194.984459975805</c:v>
                </c:pt>
                <c:pt idx="129">
                  <c:v>199.526231496888</c:v>
                </c:pt>
                <c:pt idx="130">
                  <c:v>204.173794466953</c:v>
                </c:pt>
                <c:pt idx="131">
                  <c:v>208.929613085404</c:v>
                </c:pt>
                <c:pt idx="132">
                  <c:v>213.796208950223</c:v>
                </c:pt>
                <c:pt idx="133">
                  <c:v>218.776162394955</c:v>
                </c:pt>
                <c:pt idx="134">
                  <c:v>223.872113856834</c:v>
                </c:pt>
                <c:pt idx="135">
                  <c:v>229.086765276777</c:v>
                </c:pt>
                <c:pt idx="136">
                  <c:v>234.422881531992</c:v>
                </c:pt>
                <c:pt idx="137">
                  <c:v>239.883291901949</c:v>
                </c:pt>
                <c:pt idx="138">
                  <c:v>245.470891568503</c:v>
                </c:pt>
                <c:pt idx="139">
                  <c:v>251.188643150958</c:v>
                </c:pt>
                <c:pt idx="140">
                  <c:v>257.039578276887</c:v>
                </c:pt>
                <c:pt idx="141">
                  <c:v>263.026799189538</c:v>
                </c:pt>
                <c:pt idx="142">
                  <c:v>269.153480392692</c:v>
                </c:pt>
                <c:pt idx="143">
                  <c:v>275.422870333817</c:v>
                </c:pt>
                <c:pt idx="144">
                  <c:v>281.838293126446</c:v>
                </c:pt>
                <c:pt idx="145">
                  <c:v>288.403150312661</c:v>
                </c:pt>
                <c:pt idx="146">
                  <c:v>295.120922666639</c:v>
                </c:pt>
                <c:pt idx="147">
                  <c:v>301.995172040202</c:v>
                </c:pt>
                <c:pt idx="148">
                  <c:v>309.029543251359</c:v>
                </c:pt>
                <c:pt idx="149">
                  <c:v>316.227766016838</c:v>
                </c:pt>
                <c:pt idx="150">
                  <c:v>323.593656929628</c:v>
                </c:pt>
                <c:pt idx="151">
                  <c:v>331.131121482591</c:v>
                </c:pt>
                <c:pt idx="152">
                  <c:v>338.844156139203</c:v>
                </c:pt>
                <c:pt idx="153">
                  <c:v>346.736850452532</c:v>
                </c:pt>
                <c:pt idx="154">
                  <c:v>354.813389233576</c:v>
                </c:pt>
                <c:pt idx="155">
                  <c:v>363.078054770102</c:v>
                </c:pt>
                <c:pt idx="156">
                  <c:v>371.535229097173</c:v>
                </c:pt>
                <c:pt idx="157">
                  <c:v>380.189396320562</c:v>
                </c:pt>
                <c:pt idx="158">
                  <c:v>389.045144994281</c:v>
                </c:pt>
                <c:pt idx="159">
                  <c:v>398.107170553498</c:v>
                </c:pt>
                <c:pt idx="160">
                  <c:v>407.380277804113</c:v>
                </c:pt>
                <c:pt idx="161">
                  <c:v>416.869383470336</c:v>
                </c:pt>
                <c:pt idx="162">
                  <c:v>426.579518801593</c:v>
                </c:pt>
                <c:pt idx="163">
                  <c:v>436.515832240166</c:v>
                </c:pt>
                <c:pt idx="164">
                  <c:v>446.683592150963</c:v>
                </c:pt>
                <c:pt idx="165">
                  <c:v>457.088189614876</c:v>
                </c:pt>
                <c:pt idx="166">
                  <c:v>467.735141287198</c:v>
                </c:pt>
                <c:pt idx="167">
                  <c:v>478.630092322639</c:v>
                </c:pt>
                <c:pt idx="168">
                  <c:v>489.778819368446</c:v>
                </c:pt>
                <c:pt idx="169">
                  <c:v>501.187233627273</c:v>
                </c:pt>
                <c:pt idx="170">
                  <c:v>512.861383991365</c:v>
                </c:pt>
                <c:pt idx="171">
                  <c:v>524.807460249772</c:v>
                </c:pt>
                <c:pt idx="172">
                  <c:v>537.031796370253</c:v>
                </c:pt>
                <c:pt idx="173">
                  <c:v>549.540873857625</c:v>
                </c:pt>
                <c:pt idx="174">
                  <c:v>562.341325190349</c:v>
                </c:pt>
                <c:pt idx="175">
                  <c:v>575.439937337157</c:v>
                </c:pt>
                <c:pt idx="176">
                  <c:v>588.84365535559</c:v>
                </c:pt>
                <c:pt idx="177">
                  <c:v>602.559586074358</c:v>
                </c:pt>
                <c:pt idx="178">
                  <c:v>616.595001861483</c:v>
                </c:pt>
                <c:pt idx="179">
                  <c:v>630.957344480193</c:v>
                </c:pt>
                <c:pt idx="180">
                  <c:v>645.654229034656</c:v>
                </c:pt>
                <c:pt idx="181">
                  <c:v>660.693448007596</c:v>
                </c:pt>
                <c:pt idx="182">
                  <c:v>676.082975391982</c:v>
                </c:pt>
                <c:pt idx="183">
                  <c:v>691.830970918937</c:v>
                </c:pt>
                <c:pt idx="184">
                  <c:v>707.945784384139</c:v>
                </c:pt>
                <c:pt idx="185">
                  <c:v>724.43596007499</c:v>
                </c:pt>
                <c:pt idx="186">
                  <c:v>741.310241300918</c:v>
                </c:pt>
                <c:pt idx="187">
                  <c:v>758.577575029184</c:v>
                </c:pt>
                <c:pt idx="188">
                  <c:v>776.247116628692</c:v>
                </c:pt>
                <c:pt idx="189">
                  <c:v>794.328234724282</c:v>
                </c:pt>
                <c:pt idx="190">
                  <c:v>812.8305161641</c:v>
                </c:pt>
                <c:pt idx="191">
                  <c:v>831.763771102671</c:v>
                </c:pt>
                <c:pt idx="192">
                  <c:v>851.138038202378</c:v>
                </c:pt>
                <c:pt idx="193">
                  <c:v>870.963589956081</c:v>
                </c:pt>
                <c:pt idx="194">
                  <c:v>891.250938133747</c:v>
                </c:pt>
                <c:pt idx="195">
                  <c:v>912.01083935591</c:v>
                </c:pt>
                <c:pt idx="196">
                  <c:v>933.254300796991</c:v>
                </c:pt>
                <c:pt idx="197">
                  <c:v>954.992586021437</c:v>
                </c:pt>
                <c:pt idx="198">
                  <c:v>977.237220955811</c:v>
                </c:pt>
                <c:pt idx="199">
                  <c:v>1000</c:v>
                </c:pt>
                <c:pt idx="200">
                  <c:v>1023.29299228075</c:v>
                </c:pt>
                <c:pt idx="201">
                  <c:v>1047.1285480509</c:v>
                </c:pt>
                <c:pt idx="202">
                  <c:v>1071.51930523761</c:v>
                </c:pt>
                <c:pt idx="203">
                  <c:v>1096.47819614319</c:v>
                </c:pt>
                <c:pt idx="204">
                  <c:v>1122.01845430196</c:v>
                </c:pt>
                <c:pt idx="205">
                  <c:v>1148.15362149688</c:v>
                </c:pt>
                <c:pt idx="206">
                  <c:v>1174.89755493953</c:v>
                </c:pt>
                <c:pt idx="207">
                  <c:v>1202.26443461741</c:v>
                </c:pt>
                <c:pt idx="208">
                  <c:v>1230.26877081238</c:v>
                </c:pt>
                <c:pt idx="209">
                  <c:v>1258.92541179417</c:v>
                </c:pt>
                <c:pt idx="210">
                  <c:v>1288.24955169313</c:v>
                </c:pt>
                <c:pt idx="211">
                  <c:v>1318.25673855641</c:v>
                </c:pt>
                <c:pt idx="212">
                  <c:v>1348.96288259165</c:v>
                </c:pt>
                <c:pt idx="213">
                  <c:v>1380.38426460289</c:v>
                </c:pt>
                <c:pt idx="214">
                  <c:v>1412.53754462275</c:v>
                </c:pt>
                <c:pt idx="215">
                  <c:v>1445.43977074593</c:v>
                </c:pt>
                <c:pt idx="216">
                  <c:v>1479.10838816821</c:v>
                </c:pt>
                <c:pt idx="217">
                  <c:v>1513.56124843621</c:v>
                </c:pt>
                <c:pt idx="218">
                  <c:v>1548.81661891248</c:v>
                </c:pt>
                <c:pt idx="219">
                  <c:v>1584.89319246112</c:v>
                </c:pt>
                <c:pt idx="220">
                  <c:v>1621.81009735893</c:v>
                </c:pt>
                <c:pt idx="221">
                  <c:v>1659.58690743756</c:v>
                </c:pt>
                <c:pt idx="222">
                  <c:v>1698.24365246174</c:v>
                </c:pt>
                <c:pt idx="223">
                  <c:v>1737.80082874938</c:v>
                </c:pt>
                <c:pt idx="224">
                  <c:v>1778.27941003892</c:v>
                </c:pt>
                <c:pt idx="225">
                  <c:v>1819.70085860998</c:v>
                </c:pt>
                <c:pt idx="226">
                  <c:v>1862.08713666287</c:v>
                </c:pt>
                <c:pt idx="227">
                  <c:v>1905.46071796325</c:v>
                </c:pt>
                <c:pt idx="228">
                  <c:v>1949.84459975805</c:v>
                </c:pt>
                <c:pt idx="229">
                  <c:v>1995.26231496888</c:v>
                </c:pt>
                <c:pt idx="230">
                  <c:v>2041.73794466953</c:v>
                </c:pt>
                <c:pt idx="231">
                  <c:v>2089.29613085404</c:v>
                </c:pt>
                <c:pt idx="232">
                  <c:v>2137.96208950223</c:v>
                </c:pt>
                <c:pt idx="233">
                  <c:v>2187.76162394955</c:v>
                </c:pt>
                <c:pt idx="234">
                  <c:v>2238.72113856834</c:v>
                </c:pt>
                <c:pt idx="235">
                  <c:v>2290.86765276777</c:v>
                </c:pt>
                <c:pt idx="236">
                  <c:v>2344.22881531992</c:v>
                </c:pt>
                <c:pt idx="237">
                  <c:v>2398.83291901949</c:v>
                </c:pt>
                <c:pt idx="238">
                  <c:v>2454.70891568503</c:v>
                </c:pt>
                <c:pt idx="239">
                  <c:v>2511.88643150958</c:v>
                </c:pt>
                <c:pt idx="240">
                  <c:v>2570.39578276887</c:v>
                </c:pt>
                <c:pt idx="241">
                  <c:v>2630.26799189538</c:v>
                </c:pt>
                <c:pt idx="242">
                  <c:v>2691.53480392692</c:v>
                </c:pt>
                <c:pt idx="243">
                  <c:v>2754.22870333817</c:v>
                </c:pt>
                <c:pt idx="244">
                  <c:v>2818.38293126446</c:v>
                </c:pt>
                <c:pt idx="245">
                  <c:v>2884.03150312661</c:v>
                </c:pt>
                <c:pt idx="246">
                  <c:v>2951.20922666639</c:v>
                </c:pt>
                <c:pt idx="247">
                  <c:v>3019.95172040202</c:v>
                </c:pt>
                <c:pt idx="248">
                  <c:v>3090.29543251359</c:v>
                </c:pt>
                <c:pt idx="249">
                  <c:v>3162.27766016838</c:v>
                </c:pt>
                <c:pt idx="250">
                  <c:v>3235.93656929628</c:v>
                </c:pt>
                <c:pt idx="251">
                  <c:v>3311.31121482591</c:v>
                </c:pt>
                <c:pt idx="252">
                  <c:v>3388.44156139203</c:v>
                </c:pt>
                <c:pt idx="253">
                  <c:v>3467.36850452532</c:v>
                </c:pt>
                <c:pt idx="254">
                  <c:v>3548.13389233575</c:v>
                </c:pt>
                <c:pt idx="255">
                  <c:v>3630.78054770102</c:v>
                </c:pt>
                <c:pt idx="256">
                  <c:v>3715.35229097172</c:v>
                </c:pt>
                <c:pt idx="257">
                  <c:v>3801.89396320562</c:v>
                </c:pt>
                <c:pt idx="258">
                  <c:v>3890.45144994281</c:v>
                </c:pt>
                <c:pt idx="259">
                  <c:v>3981.07170553498</c:v>
                </c:pt>
                <c:pt idx="260">
                  <c:v>4073.80277804113</c:v>
                </c:pt>
                <c:pt idx="261">
                  <c:v>4168.69383470336</c:v>
                </c:pt>
                <c:pt idx="262">
                  <c:v>4265.79518801593</c:v>
                </c:pt>
                <c:pt idx="263">
                  <c:v>4365.15832240166</c:v>
                </c:pt>
                <c:pt idx="264">
                  <c:v>4466.83592150963</c:v>
                </c:pt>
                <c:pt idx="265">
                  <c:v>4570.88189614875</c:v>
                </c:pt>
                <c:pt idx="266">
                  <c:v>4677.35141287198</c:v>
                </c:pt>
                <c:pt idx="267">
                  <c:v>4786.30092322638</c:v>
                </c:pt>
                <c:pt idx="268">
                  <c:v>4897.78819368446</c:v>
                </c:pt>
                <c:pt idx="269">
                  <c:v>5011.87233627273</c:v>
                </c:pt>
                <c:pt idx="270">
                  <c:v>5128.61383991365</c:v>
                </c:pt>
                <c:pt idx="271">
                  <c:v>5248.07460249773</c:v>
                </c:pt>
                <c:pt idx="272">
                  <c:v>5370.31796370253</c:v>
                </c:pt>
                <c:pt idx="273">
                  <c:v>5495.40873857625</c:v>
                </c:pt>
                <c:pt idx="274">
                  <c:v>5623.4132519035</c:v>
                </c:pt>
                <c:pt idx="275">
                  <c:v>5754.39937337157</c:v>
                </c:pt>
                <c:pt idx="276">
                  <c:v>5888.4365535559</c:v>
                </c:pt>
                <c:pt idx="277">
                  <c:v>6025.59586074359</c:v>
                </c:pt>
                <c:pt idx="278">
                  <c:v>6165.95001861483</c:v>
                </c:pt>
                <c:pt idx="279">
                  <c:v>6309.57344480194</c:v>
                </c:pt>
                <c:pt idx="280">
                  <c:v>6456.54229034656</c:v>
                </c:pt>
                <c:pt idx="281">
                  <c:v>6606.93448007597</c:v>
                </c:pt>
                <c:pt idx="282">
                  <c:v>6760.82975391982</c:v>
                </c:pt>
                <c:pt idx="283">
                  <c:v>6918.30970918937</c:v>
                </c:pt>
                <c:pt idx="284">
                  <c:v>7079.45784384138</c:v>
                </c:pt>
                <c:pt idx="285">
                  <c:v>7244.3596007499</c:v>
                </c:pt>
                <c:pt idx="286">
                  <c:v>7413.10241300918</c:v>
                </c:pt>
                <c:pt idx="287">
                  <c:v>7585.77575029184</c:v>
                </c:pt>
                <c:pt idx="288">
                  <c:v>7762.47116628693</c:v>
                </c:pt>
                <c:pt idx="289">
                  <c:v>7943.28234724282</c:v>
                </c:pt>
                <c:pt idx="290">
                  <c:v>8128.30516164101</c:v>
                </c:pt>
                <c:pt idx="291">
                  <c:v>8317.63771102671</c:v>
                </c:pt>
                <c:pt idx="292">
                  <c:v>8511.38038202378</c:v>
                </c:pt>
                <c:pt idx="293">
                  <c:v>8709.63589956082</c:v>
                </c:pt>
                <c:pt idx="294">
                  <c:v>8912.50938133747</c:v>
                </c:pt>
                <c:pt idx="295">
                  <c:v>9120.10839355911</c:v>
                </c:pt>
                <c:pt idx="296">
                  <c:v>9332.54300796992</c:v>
                </c:pt>
                <c:pt idx="297">
                  <c:v>9549.92586021437</c:v>
                </c:pt>
                <c:pt idx="298">
                  <c:v>9772.37220955812</c:v>
                </c:pt>
                <c:pt idx="299">
                  <c:v>10000</c:v>
                </c:pt>
                <c:pt idx="300">
                  <c:v>10232.9299228075</c:v>
                </c:pt>
                <c:pt idx="301">
                  <c:v>10471.285480509</c:v>
                </c:pt>
                <c:pt idx="302">
                  <c:v>10715.1930523761</c:v>
                </c:pt>
                <c:pt idx="303">
                  <c:v>10964.7819614319</c:v>
                </c:pt>
                <c:pt idx="304">
                  <c:v>11220.1845430196</c:v>
                </c:pt>
                <c:pt idx="305">
                  <c:v>11481.5362149688</c:v>
                </c:pt>
                <c:pt idx="306">
                  <c:v>11748.9755493953</c:v>
                </c:pt>
                <c:pt idx="307">
                  <c:v>12022.6443461742</c:v>
                </c:pt>
                <c:pt idx="308">
                  <c:v>12302.6877081238</c:v>
                </c:pt>
                <c:pt idx="309">
                  <c:v>12589.2541179417</c:v>
                </c:pt>
                <c:pt idx="310">
                  <c:v>12882.4955169314</c:v>
                </c:pt>
                <c:pt idx="311">
                  <c:v>13182.5673855641</c:v>
                </c:pt>
                <c:pt idx="312">
                  <c:v>13489.6288259166</c:v>
                </c:pt>
                <c:pt idx="313">
                  <c:v>13803.8426460288</c:v>
                </c:pt>
                <c:pt idx="314">
                  <c:v>14125.3754462276</c:v>
                </c:pt>
                <c:pt idx="315">
                  <c:v>14454.3977074593</c:v>
                </c:pt>
                <c:pt idx="316">
                  <c:v>14791.0838816821</c:v>
                </c:pt>
                <c:pt idx="317">
                  <c:v>15135.6124843621</c:v>
                </c:pt>
                <c:pt idx="318">
                  <c:v>15488.1661891249</c:v>
                </c:pt>
                <c:pt idx="319">
                  <c:v>15848.9319246111</c:v>
                </c:pt>
                <c:pt idx="320">
                  <c:v>16218.1009735893</c:v>
                </c:pt>
                <c:pt idx="321">
                  <c:v>16595.8690743756</c:v>
                </c:pt>
                <c:pt idx="322">
                  <c:v>16982.4365246175</c:v>
                </c:pt>
                <c:pt idx="323">
                  <c:v>17378.0082874938</c:v>
                </c:pt>
                <c:pt idx="324">
                  <c:v>17782.7941003892</c:v>
                </c:pt>
                <c:pt idx="325">
                  <c:v>18197.0085860998</c:v>
                </c:pt>
                <c:pt idx="326">
                  <c:v>18620.8713666287</c:v>
                </c:pt>
                <c:pt idx="327">
                  <c:v>19054.6071796325</c:v>
                </c:pt>
                <c:pt idx="328">
                  <c:v>19498.4459975805</c:v>
                </c:pt>
                <c:pt idx="329">
                  <c:v>19952.6231496888</c:v>
                </c:pt>
                <c:pt idx="330">
                  <c:v>20417.3794466953</c:v>
                </c:pt>
                <c:pt idx="331">
                  <c:v>20892.9613085404</c:v>
                </c:pt>
                <c:pt idx="332">
                  <c:v>21379.6208950223</c:v>
                </c:pt>
                <c:pt idx="333">
                  <c:v>21877.6162394955</c:v>
                </c:pt>
                <c:pt idx="334">
                  <c:v>22387.2113856834</c:v>
                </c:pt>
                <c:pt idx="335">
                  <c:v>22908.6765276778</c:v>
                </c:pt>
                <c:pt idx="336">
                  <c:v>23442.2881531992</c:v>
                </c:pt>
                <c:pt idx="337">
                  <c:v>23988.3291901949</c:v>
                </c:pt>
                <c:pt idx="338">
                  <c:v>24547.0891568503</c:v>
                </c:pt>
                <c:pt idx="339">
                  <c:v>25118.8643150959</c:v>
                </c:pt>
                <c:pt idx="340">
                  <c:v>25703.9578276886</c:v>
                </c:pt>
                <c:pt idx="341">
                  <c:v>26302.6799189538</c:v>
                </c:pt>
                <c:pt idx="342">
                  <c:v>26915.3480392692</c:v>
                </c:pt>
                <c:pt idx="343">
                  <c:v>27542.2870333817</c:v>
                </c:pt>
                <c:pt idx="344">
                  <c:v>28183.8293126446</c:v>
                </c:pt>
                <c:pt idx="345">
                  <c:v>28840.3150312661</c:v>
                </c:pt>
                <c:pt idx="346">
                  <c:v>29512.0922666639</c:v>
                </c:pt>
                <c:pt idx="347">
                  <c:v>30199.5172040202</c:v>
                </c:pt>
                <c:pt idx="348">
                  <c:v>30902.954325136</c:v>
                </c:pt>
                <c:pt idx="349">
                  <c:v>31622.7766016838</c:v>
                </c:pt>
                <c:pt idx="350">
                  <c:v>32359.3656929629</c:v>
                </c:pt>
                <c:pt idx="351">
                  <c:v>33113.1121482591</c:v>
                </c:pt>
                <c:pt idx="352">
                  <c:v>33884.4156139203</c:v>
                </c:pt>
                <c:pt idx="353">
                  <c:v>34673.6850452532</c:v>
                </c:pt>
                <c:pt idx="354">
                  <c:v>35481.3389233576</c:v>
                </c:pt>
                <c:pt idx="355">
                  <c:v>36307.8054770102</c:v>
                </c:pt>
                <c:pt idx="356">
                  <c:v>37153.5229097174</c:v>
                </c:pt>
                <c:pt idx="357">
                  <c:v>38018.9396320561</c:v>
                </c:pt>
                <c:pt idx="358">
                  <c:v>38904.5144994281</c:v>
                </c:pt>
                <c:pt idx="359">
                  <c:v>39810.7170553497</c:v>
                </c:pt>
                <c:pt idx="360">
                  <c:v>40738.0277804114</c:v>
                </c:pt>
                <c:pt idx="361">
                  <c:v>41686.9383470336</c:v>
                </c:pt>
                <c:pt idx="362">
                  <c:v>42657.9518801593</c:v>
                </c:pt>
                <c:pt idx="363">
                  <c:v>43651.5832240166</c:v>
                </c:pt>
                <c:pt idx="364">
                  <c:v>44668.3592150964</c:v>
                </c:pt>
                <c:pt idx="365">
                  <c:v>45708.8189614876</c:v>
                </c:pt>
                <c:pt idx="366">
                  <c:v>46773.5141287199</c:v>
                </c:pt>
                <c:pt idx="367">
                  <c:v>47863.0092322638</c:v>
                </c:pt>
                <c:pt idx="368">
                  <c:v>48977.8819368446</c:v>
                </c:pt>
                <c:pt idx="369">
                  <c:v>50118.7233627273</c:v>
                </c:pt>
                <c:pt idx="370">
                  <c:v>51286.1383991365</c:v>
                </c:pt>
                <c:pt idx="371">
                  <c:v>52480.7460249773</c:v>
                </c:pt>
                <c:pt idx="372">
                  <c:v>53703.1796370254</c:v>
                </c:pt>
                <c:pt idx="373">
                  <c:v>54954.0873857625</c:v>
                </c:pt>
                <c:pt idx="374">
                  <c:v>56234.132519035</c:v>
                </c:pt>
                <c:pt idx="375">
                  <c:v>57543.9937337157</c:v>
                </c:pt>
                <c:pt idx="376">
                  <c:v>58884.3655355589</c:v>
                </c:pt>
                <c:pt idx="377">
                  <c:v>60255.9586074359</c:v>
                </c:pt>
                <c:pt idx="378">
                  <c:v>61659.5001861482</c:v>
                </c:pt>
                <c:pt idx="379">
                  <c:v>63095.7344480193</c:v>
                </c:pt>
                <c:pt idx="380">
                  <c:v>64565.4229034657</c:v>
                </c:pt>
                <c:pt idx="381">
                  <c:v>66069.3448007597</c:v>
                </c:pt>
                <c:pt idx="382">
                  <c:v>67608.2975391983</c:v>
                </c:pt>
                <c:pt idx="383">
                  <c:v>69183.0970918937</c:v>
                </c:pt>
                <c:pt idx="384">
                  <c:v>70794.5784384138</c:v>
                </c:pt>
                <c:pt idx="385">
                  <c:v>72443.5960074991</c:v>
                </c:pt>
                <c:pt idx="386">
                  <c:v>74131.0241300919</c:v>
                </c:pt>
                <c:pt idx="387">
                  <c:v>75857.7575029185</c:v>
                </c:pt>
                <c:pt idx="388">
                  <c:v>77624.7116628691</c:v>
                </c:pt>
                <c:pt idx="389">
                  <c:v>79432.8234724282</c:v>
                </c:pt>
                <c:pt idx="390">
                  <c:v>81283.05161641</c:v>
                </c:pt>
                <c:pt idx="391">
                  <c:v>83176.3771102672</c:v>
                </c:pt>
                <c:pt idx="392">
                  <c:v>85113.8038202377</c:v>
                </c:pt>
                <c:pt idx="393">
                  <c:v>87096.3589956081</c:v>
                </c:pt>
                <c:pt idx="394">
                  <c:v>89125.0938133746</c:v>
                </c:pt>
                <c:pt idx="395">
                  <c:v>91201.083935591</c:v>
                </c:pt>
                <c:pt idx="396">
                  <c:v>93325.4300796991</c:v>
                </c:pt>
                <c:pt idx="397">
                  <c:v>95499.2586021438</c:v>
                </c:pt>
                <c:pt idx="398">
                  <c:v>97723.7220955813</c:v>
                </c:pt>
                <c:pt idx="399">
                  <c:v>100000</c:v>
                </c:pt>
                <c:pt idx="400">
                  <c:v>102329.299228075</c:v>
                </c:pt>
                <c:pt idx="401">
                  <c:v>104712.85480509</c:v>
                </c:pt>
                <c:pt idx="402">
                  <c:v>107151.930523761</c:v>
                </c:pt>
                <c:pt idx="403">
                  <c:v>109647.819614319</c:v>
                </c:pt>
                <c:pt idx="404">
                  <c:v>112201.845430197</c:v>
                </c:pt>
                <c:pt idx="405">
                  <c:v>114815.362149688</c:v>
                </c:pt>
                <c:pt idx="406">
                  <c:v>117489.755493953</c:v>
                </c:pt>
                <c:pt idx="407">
                  <c:v>120226.443461741</c:v>
                </c:pt>
                <c:pt idx="408">
                  <c:v>123026.877081238</c:v>
                </c:pt>
                <c:pt idx="409">
                  <c:v>125892.541179417</c:v>
                </c:pt>
                <c:pt idx="410">
                  <c:v>128824.955169314</c:v>
                </c:pt>
                <c:pt idx="411">
                  <c:v>131825.673855641</c:v>
                </c:pt>
                <c:pt idx="412">
                  <c:v>134896.288259165</c:v>
                </c:pt>
                <c:pt idx="413">
                  <c:v>138038.426460289</c:v>
                </c:pt>
                <c:pt idx="414">
                  <c:v>141253.754462276</c:v>
                </c:pt>
                <c:pt idx="415">
                  <c:v>144543.977074593</c:v>
                </c:pt>
                <c:pt idx="416">
                  <c:v>147910.838816821</c:v>
                </c:pt>
                <c:pt idx="417">
                  <c:v>151356.124843621</c:v>
                </c:pt>
                <c:pt idx="418">
                  <c:v>154881.661891248</c:v>
                </c:pt>
                <c:pt idx="419">
                  <c:v>158489.319246112</c:v>
                </c:pt>
                <c:pt idx="420">
                  <c:v>162181.009735893</c:v>
                </c:pt>
                <c:pt idx="421">
                  <c:v>165958.690743756</c:v>
                </c:pt>
                <c:pt idx="422">
                  <c:v>169824.365246175</c:v>
                </c:pt>
                <c:pt idx="423">
                  <c:v>173780.082874938</c:v>
                </c:pt>
                <c:pt idx="424">
                  <c:v>177827.941003893</c:v>
                </c:pt>
                <c:pt idx="425">
                  <c:v>181970.085860999</c:v>
                </c:pt>
                <c:pt idx="426">
                  <c:v>186208.713666287</c:v>
                </c:pt>
                <c:pt idx="427">
                  <c:v>190546.071796325</c:v>
                </c:pt>
                <c:pt idx="428">
                  <c:v>194984.459975805</c:v>
                </c:pt>
                <c:pt idx="429">
                  <c:v>199526.231496888</c:v>
                </c:pt>
                <c:pt idx="430">
                  <c:v>204173.794466953</c:v>
                </c:pt>
                <c:pt idx="431">
                  <c:v>208929.613085404</c:v>
                </c:pt>
                <c:pt idx="432">
                  <c:v>213796.208950223</c:v>
                </c:pt>
                <c:pt idx="433">
                  <c:v>218776.162394955</c:v>
                </c:pt>
                <c:pt idx="434">
                  <c:v>223872.113856834</c:v>
                </c:pt>
                <c:pt idx="435">
                  <c:v>229086.765276778</c:v>
                </c:pt>
                <c:pt idx="436">
                  <c:v>234422.881531993</c:v>
                </c:pt>
                <c:pt idx="437">
                  <c:v>239883.291901949</c:v>
                </c:pt>
                <c:pt idx="438">
                  <c:v>245470.891568503</c:v>
                </c:pt>
                <c:pt idx="439">
                  <c:v>251188.643150958</c:v>
                </c:pt>
                <c:pt idx="440">
                  <c:v>257039.578276887</c:v>
                </c:pt>
                <c:pt idx="441">
                  <c:v>263026.799189539</c:v>
                </c:pt>
                <c:pt idx="442">
                  <c:v>269153.480392691</c:v>
                </c:pt>
                <c:pt idx="443">
                  <c:v>275422.870333817</c:v>
                </c:pt>
                <c:pt idx="444">
                  <c:v>281838.293126446</c:v>
                </c:pt>
                <c:pt idx="445">
                  <c:v>288403.150312661</c:v>
                </c:pt>
                <c:pt idx="446">
                  <c:v>295120.922666639</c:v>
                </c:pt>
                <c:pt idx="447">
                  <c:v>301995.172040202</c:v>
                </c:pt>
                <c:pt idx="448">
                  <c:v>309029.543251359</c:v>
                </c:pt>
                <c:pt idx="449">
                  <c:v>316227.766016838</c:v>
                </c:pt>
                <c:pt idx="450">
                  <c:v>323593.656929628</c:v>
                </c:pt>
                <c:pt idx="451">
                  <c:v>331131.121482591</c:v>
                </c:pt>
                <c:pt idx="452">
                  <c:v>338844.156139203</c:v>
                </c:pt>
                <c:pt idx="453">
                  <c:v>346736.850452532</c:v>
                </c:pt>
                <c:pt idx="454">
                  <c:v>354813.389233576</c:v>
                </c:pt>
                <c:pt idx="455">
                  <c:v>363078.054770102</c:v>
                </c:pt>
                <c:pt idx="456">
                  <c:v>371535.229097173</c:v>
                </c:pt>
                <c:pt idx="457">
                  <c:v>380189.396320562</c:v>
                </c:pt>
                <c:pt idx="458">
                  <c:v>389045.144994281</c:v>
                </c:pt>
                <c:pt idx="459">
                  <c:v>398107.170553497</c:v>
                </c:pt>
                <c:pt idx="460">
                  <c:v>407380.277804113</c:v>
                </c:pt>
                <c:pt idx="461">
                  <c:v>416869.383470336</c:v>
                </c:pt>
                <c:pt idx="462">
                  <c:v>426579.518801593</c:v>
                </c:pt>
                <c:pt idx="463">
                  <c:v>436515.832240166</c:v>
                </c:pt>
                <c:pt idx="464">
                  <c:v>446683.592150964</c:v>
                </c:pt>
                <c:pt idx="465">
                  <c:v>457088.189614875</c:v>
                </c:pt>
                <c:pt idx="466">
                  <c:v>467735.141287199</c:v>
                </c:pt>
                <c:pt idx="467">
                  <c:v>478630.092322639</c:v>
                </c:pt>
                <c:pt idx="468">
                  <c:v>489778.819368447</c:v>
                </c:pt>
                <c:pt idx="469">
                  <c:v>501187.233627273</c:v>
                </c:pt>
                <c:pt idx="470">
                  <c:v>512861.383991365</c:v>
                </c:pt>
                <c:pt idx="471">
                  <c:v>524807.460249773</c:v>
                </c:pt>
                <c:pt idx="472">
                  <c:v>537031.796370254</c:v>
                </c:pt>
                <c:pt idx="473">
                  <c:v>549540.873857626</c:v>
                </c:pt>
                <c:pt idx="474">
                  <c:v>562341.32519035</c:v>
                </c:pt>
                <c:pt idx="475">
                  <c:v>575439.937337157</c:v>
                </c:pt>
                <c:pt idx="476">
                  <c:v>588843.655355589</c:v>
                </c:pt>
                <c:pt idx="477">
                  <c:v>602559.586074359</c:v>
                </c:pt>
                <c:pt idx="478">
                  <c:v>616595.001861483</c:v>
                </c:pt>
                <c:pt idx="479">
                  <c:v>630957.344480194</c:v>
                </c:pt>
                <c:pt idx="480">
                  <c:v>645654.229034657</c:v>
                </c:pt>
                <c:pt idx="481">
                  <c:v>660693.448007597</c:v>
                </c:pt>
                <c:pt idx="482">
                  <c:v>676082.975391983</c:v>
                </c:pt>
                <c:pt idx="483">
                  <c:v>691830.970918937</c:v>
                </c:pt>
                <c:pt idx="484">
                  <c:v>707945.784384139</c:v>
                </c:pt>
                <c:pt idx="485">
                  <c:v>724435.960074992</c:v>
                </c:pt>
                <c:pt idx="486">
                  <c:v>741310.241300918</c:v>
                </c:pt>
                <c:pt idx="487">
                  <c:v>758577.575029184</c:v>
                </c:pt>
                <c:pt idx="488">
                  <c:v>776247.116628692</c:v>
                </c:pt>
                <c:pt idx="489">
                  <c:v>794328.234724283</c:v>
                </c:pt>
                <c:pt idx="490">
                  <c:v>812830.516164101</c:v>
                </c:pt>
                <c:pt idx="491">
                  <c:v>831763.771102671</c:v>
                </c:pt>
                <c:pt idx="492">
                  <c:v>851138.038202377</c:v>
                </c:pt>
                <c:pt idx="493">
                  <c:v>870963.589956081</c:v>
                </c:pt>
                <c:pt idx="494">
                  <c:v>891250.938133747</c:v>
                </c:pt>
                <c:pt idx="495">
                  <c:v>912010.839355911</c:v>
                </c:pt>
                <c:pt idx="496">
                  <c:v>933254.300796992</c:v>
                </c:pt>
                <c:pt idx="497">
                  <c:v>954992.586021437</c:v>
                </c:pt>
                <c:pt idx="498">
                  <c:v>977237.220955812</c:v>
                </c:pt>
                <c:pt idx="499">
                  <c:v>1000000</c:v>
                </c:pt>
                <c:pt idx="500">
                  <c:v>1023292.99228076</c:v>
                </c:pt>
                <c:pt idx="501">
                  <c:v>1047128.5480509</c:v>
                </c:pt>
                <c:pt idx="502">
                  <c:v>1071519.30523761</c:v>
                </c:pt>
                <c:pt idx="503">
                  <c:v>1096478.19614319</c:v>
                </c:pt>
                <c:pt idx="504">
                  <c:v>1122018.45430196</c:v>
                </c:pt>
                <c:pt idx="505">
                  <c:v>1148153.62149688</c:v>
                </c:pt>
                <c:pt idx="506">
                  <c:v>1174897.55493953</c:v>
                </c:pt>
                <c:pt idx="507">
                  <c:v>1202264.43461742</c:v>
                </c:pt>
                <c:pt idx="508">
                  <c:v>1230268.77081238</c:v>
                </c:pt>
                <c:pt idx="509">
                  <c:v>1258925.41179417</c:v>
                </c:pt>
                <c:pt idx="510">
                  <c:v>1288249.55169314</c:v>
                </c:pt>
                <c:pt idx="511">
                  <c:v>1318256.73855641</c:v>
                </c:pt>
                <c:pt idx="512">
                  <c:v>1348962.88259166</c:v>
                </c:pt>
                <c:pt idx="513">
                  <c:v>1380384.26460288</c:v>
                </c:pt>
                <c:pt idx="514">
                  <c:v>1412537.54462276</c:v>
                </c:pt>
                <c:pt idx="515">
                  <c:v>1445439.77074593</c:v>
                </c:pt>
                <c:pt idx="516">
                  <c:v>1479108.38816821</c:v>
                </c:pt>
                <c:pt idx="517">
                  <c:v>1513561.24843621</c:v>
                </c:pt>
                <c:pt idx="518">
                  <c:v>1548816.61891249</c:v>
                </c:pt>
                <c:pt idx="519">
                  <c:v>1584893.19246112</c:v>
                </c:pt>
                <c:pt idx="520">
                  <c:v>1621810.09735893</c:v>
                </c:pt>
                <c:pt idx="521">
                  <c:v>1659586.90743756</c:v>
                </c:pt>
                <c:pt idx="522">
                  <c:v>1698243.65246175</c:v>
                </c:pt>
                <c:pt idx="523">
                  <c:v>1737800.82874938</c:v>
                </c:pt>
                <c:pt idx="524">
                  <c:v>1778279.41003892</c:v>
                </c:pt>
                <c:pt idx="525">
                  <c:v>1819700.85860998</c:v>
                </c:pt>
                <c:pt idx="526">
                  <c:v>1862087.13666287</c:v>
                </c:pt>
                <c:pt idx="527">
                  <c:v>1905460.71796325</c:v>
                </c:pt>
                <c:pt idx="528">
                  <c:v>1949844.59975805</c:v>
                </c:pt>
                <c:pt idx="529">
                  <c:v>1995262.31496888</c:v>
                </c:pt>
                <c:pt idx="530">
                  <c:v>2041737.94466953</c:v>
                </c:pt>
                <c:pt idx="531">
                  <c:v>2089296.13085404</c:v>
                </c:pt>
                <c:pt idx="532">
                  <c:v>2137962.08950224</c:v>
                </c:pt>
                <c:pt idx="533">
                  <c:v>2187761.62394956</c:v>
                </c:pt>
                <c:pt idx="534">
                  <c:v>2238721.13856834</c:v>
                </c:pt>
                <c:pt idx="535">
                  <c:v>2290867.65276778</c:v>
                </c:pt>
                <c:pt idx="536">
                  <c:v>2344228.81531993</c:v>
                </c:pt>
                <c:pt idx="537">
                  <c:v>2398832.91901949</c:v>
                </c:pt>
                <c:pt idx="538">
                  <c:v>2454708.91568503</c:v>
                </c:pt>
                <c:pt idx="539">
                  <c:v>2511886.43150959</c:v>
                </c:pt>
                <c:pt idx="540">
                  <c:v>2570395.78276887</c:v>
                </c:pt>
                <c:pt idx="541">
                  <c:v>2630267.99189538</c:v>
                </c:pt>
              </c:numCache>
            </c:numRef>
          </c:xVal>
          <c:yVal>
            <c:numRef>
              <c:f>Loop_Modeling!$BM$19:$BM$560</c:f>
              <c:numCache>
                <c:formatCode>General</c:formatCode>
                <c:ptCount val="542"/>
                <c:pt idx="0">
                  <c:v>86.0058623057596</c:v>
                </c:pt>
                <c:pt idx="1">
                  <c:v>85.9138386603732</c:v>
                </c:pt>
                <c:pt idx="2">
                  <c:v>85.8197431614423</c:v>
                </c:pt>
                <c:pt idx="3">
                  <c:v>85.7235325882717</c:v>
                </c:pt>
                <c:pt idx="4">
                  <c:v>85.6251630635294</c:v>
                </c:pt>
                <c:pt idx="5">
                  <c:v>85.5245900617633</c:v>
                </c:pt>
                <c:pt idx="6">
                  <c:v>85.4217684196751</c:v>
                </c:pt>
                <c:pt idx="7">
                  <c:v>85.3166523482851</c:v>
                </c:pt>
                <c:pt idx="8">
                  <c:v>85.2091954471326</c:v>
                </c:pt>
                <c:pt idx="9">
                  <c:v>85.0993507206633</c:v>
                </c:pt>
                <c:pt idx="10">
                  <c:v>84.9870705969643</c:v>
                </c:pt>
                <c:pt idx="11">
                  <c:v>84.8723069490151</c:v>
                </c:pt>
                <c:pt idx="12">
                  <c:v>84.7550111186344</c:v>
                </c:pt>
                <c:pt idx="13">
                  <c:v>84.6351339433093</c:v>
                </c:pt>
                <c:pt idx="14">
                  <c:v>84.5126257861067</c:v>
                </c:pt>
                <c:pt idx="15">
                  <c:v>84.3874365688718</c:v>
                </c:pt>
                <c:pt idx="16">
                  <c:v>84.2595158089349</c:v>
                </c:pt>
                <c:pt idx="17">
                  <c:v>84.128812659551</c:v>
                </c:pt>
                <c:pt idx="18">
                  <c:v>83.9952759543155</c:v>
                </c:pt>
                <c:pt idx="19">
                  <c:v>83.8588542558011</c:v>
                </c:pt>
                <c:pt idx="20">
                  <c:v>83.7194959086773</c:v>
                </c:pt>
                <c:pt idx="21">
                  <c:v>83.5771490975848</c:v>
                </c:pt>
                <c:pt idx="22">
                  <c:v>83.4317619100408</c:v>
                </c:pt>
                <c:pt idx="23">
                  <c:v>83.2832824046702</c:v>
                </c:pt>
                <c:pt idx="24">
                  <c:v>83.1316586850602</c:v>
                </c:pt>
                <c:pt idx="25">
                  <c:v>82.9768389795483</c:v>
                </c:pt>
                <c:pt idx="26">
                  <c:v>82.8187717272625</c:v>
                </c:pt>
                <c:pt idx="27">
                  <c:v>82.6574056707391</c:v>
                </c:pt>
                <c:pt idx="28">
                  <c:v>82.4926899554487</c:v>
                </c:pt>
                <c:pt idx="29">
                  <c:v>82.3245742365724</c:v>
                </c:pt>
                <c:pt idx="30">
                  <c:v>82.1530087933676</c:v>
                </c:pt>
                <c:pt idx="31">
                  <c:v>81.9779446514702</c:v>
                </c:pt>
                <c:pt idx="32">
                  <c:v>81.79933371348</c:v>
                </c:pt>
                <c:pt idx="33">
                  <c:v>81.617128898173</c:v>
                </c:pt>
                <c:pt idx="34">
                  <c:v>81.4312842886846</c:v>
                </c:pt>
                <c:pt idx="35">
                  <c:v>81.2417552899966</c:v>
                </c:pt>
                <c:pt idx="36">
                  <c:v>81.0484987960569</c:v>
                </c:pt>
                <c:pt idx="37">
                  <c:v>80.851473366844</c:v>
                </c:pt>
                <c:pt idx="38">
                  <c:v>80.6506394156736</c:v>
                </c:pt>
                <c:pt idx="39">
                  <c:v>80.4459594070251</c:v>
                </c:pt>
                <c:pt idx="40">
                  <c:v>80.2373980651384</c:v>
                </c:pt>
                <c:pt idx="41">
                  <c:v>80.0249225936035</c:v>
                </c:pt>
                <c:pt idx="42">
                  <c:v>79.8085029061278</c:v>
                </c:pt>
                <c:pt idx="43">
                  <c:v>79.5881118686263</c:v>
                </c:pt>
                <c:pt idx="44">
                  <c:v>79.3637255527304</c:v>
                </c:pt>
                <c:pt idx="45">
                  <c:v>79.135323500759</c:v>
                </c:pt>
                <c:pt idx="46">
                  <c:v>78.9028890021286</c:v>
                </c:pt>
                <c:pt idx="47">
                  <c:v>78.6664093811188</c:v>
                </c:pt>
                <c:pt idx="48">
                  <c:v>78.4258762958209</c:v>
                </c:pt>
                <c:pt idx="49">
                  <c:v>78.1812860480198</c:v>
                </c:pt>
                <c:pt idx="50">
                  <c:v>77.9326399036648</c:v>
                </c:pt>
                <c:pt idx="51">
                  <c:v>77.6799444234747</c:v>
                </c:pt>
                <c:pt idx="52">
                  <c:v>77.4232118031206</c:v>
                </c:pt>
                <c:pt idx="53">
                  <c:v>77.1624602222997</c:v>
                </c:pt>
                <c:pt idx="54">
                  <c:v>76.8977142018888</c:v>
                </c:pt>
                <c:pt idx="55">
                  <c:v>76.6290049682286</c:v>
                </c:pt>
                <c:pt idx="56">
                  <c:v>76.3563708234355</c:v>
                </c:pt>
                <c:pt idx="57">
                  <c:v>76.0798575204923</c:v>
                </c:pt>
                <c:pt idx="58">
                  <c:v>75.7995186417023</c:v>
                </c:pt>
                <c:pt idx="59">
                  <c:v>75.5154159789222</c:v>
                </c:pt>
                <c:pt idx="60">
                  <c:v>75.2276199138214</c:v>
                </c:pt>
                <c:pt idx="61">
                  <c:v>74.9362097962332</c:v>
                </c:pt>
                <c:pt idx="62">
                  <c:v>74.6412743184895</c:v>
                </c:pt>
                <c:pt idx="63">
                  <c:v>74.3429118834482</c:v>
                </c:pt>
                <c:pt idx="64">
                  <c:v>74.041230963749</c:v>
                </c:pt>
                <c:pt idx="65">
                  <c:v>73.7363504496579</c:v>
                </c:pt>
                <c:pt idx="66">
                  <c:v>73.4283999826986</c:v>
                </c:pt>
                <c:pt idx="67">
                  <c:v>73.1175202721103</c:v>
                </c:pt>
                <c:pt idx="68">
                  <c:v>72.8038633910305</c:v>
                </c:pt>
                <c:pt idx="69">
                  <c:v>72.4875930491731</c:v>
                </c:pt>
                <c:pt idx="70">
                  <c:v>72.1688848386669</c:v>
                </c:pt>
                <c:pt idx="71">
                  <c:v>71.8479264496324</c:v>
                </c:pt>
                <c:pt idx="72">
                  <c:v>71.5249178520182</c:v>
                </c:pt>
                <c:pt idx="73">
                  <c:v>71.2000714401876</c:v>
                </c:pt>
                <c:pt idx="74">
                  <c:v>70.8736121367523</c:v>
                </c:pt>
                <c:pt idx="75">
                  <c:v>70.5457774521892</c:v>
                </c:pt>
                <c:pt idx="76">
                  <c:v>70.2168174968525</c:v>
                </c:pt>
                <c:pt idx="77">
                  <c:v>69.8869949421194</c:v>
                </c:pt>
                <c:pt idx="78">
                  <c:v>69.5565849275622</c:v>
                </c:pt>
                <c:pt idx="79">
                  <c:v>69.225874911258</c:v>
                </c:pt>
                <c:pt idx="80">
                  <c:v>68.8951644605883</c:v>
                </c:pt>
                <c:pt idx="81">
                  <c:v>68.5647649811892</c:v>
                </c:pt>
                <c:pt idx="82">
                  <c:v>68.2349993820493</c:v>
                </c:pt>
                <c:pt idx="83">
                  <c:v>67.9062016751404</c:v>
                </c:pt>
                <c:pt idx="84">
                  <c:v>67.5787165083939</c:v>
                </c:pt>
                <c:pt idx="85">
                  <c:v>67.2528986312939</c:v>
                </c:pt>
                <c:pt idx="86">
                  <c:v>66.9291122928597</c:v>
                </c:pt>
                <c:pt idx="87">
                  <c:v>66.6077305723115</c:v>
                </c:pt>
                <c:pt idx="88">
                  <c:v>66.2891346432588</c:v>
                </c:pt>
                <c:pt idx="89">
                  <c:v>65.9737129728096</c:v>
                </c:pt>
                <c:pt idx="90">
                  <c:v>65.6618604575744</c:v>
                </c:pt>
                <c:pt idx="91">
                  <c:v>65.3539774991009</c:v>
                </c:pt>
                <c:pt idx="92">
                  <c:v>65.0504690218399</c:v>
                </c:pt>
                <c:pt idx="93">
                  <c:v>64.7517434372923</c:v>
                </c:pt>
                <c:pt idx="94">
                  <c:v>64.4582115585072</c:v>
                </c:pt>
                <c:pt idx="95">
                  <c:v>64.1702854695935</c:v>
                </c:pt>
                <c:pt idx="96">
                  <c:v>63.8883773553646</c:v>
                </c:pt>
                <c:pt idx="97">
                  <c:v>63.6128982966404</c:v>
                </c:pt>
                <c:pt idx="98">
                  <c:v>63.3442570370948</c:v>
                </c:pt>
                <c:pt idx="99">
                  <c:v>63.0828587278342</c:v>
                </c:pt>
                <c:pt idx="100">
                  <c:v>62.8291036561447</c:v>
                </c:pt>
                <c:pt idx="101">
                  <c:v>62.5833859650141</c:v>
                </c:pt>
                <c:pt idx="102">
                  <c:v>62.3460923701752</c:v>
                </c:pt>
                <c:pt idx="103">
                  <c:v>62.1176008814476</c:v>
                </c:pt>
                <c:pt idx="104">
                  <c:v>61.8982795351712</c:v>
                </c:pt>
                <c:pt idx="105">
                  <c:v>61.6884851444411</c:v>
                </c:pt>
                <c:pt idx="106">
                  <c:v>61.4885620737409</c:v>
                </c:pt>
                <c:pt idx="107">
                  <c:v>61.2988410443926</c:v>
                </c:pt>
                <c:pt idx="108">
                  <c:v>61.119637977012</c:v>
                </c:pt>
                <c:pt idx="109">
                  <c:v>60.9512528769031</c:v>
                </c:pt>
                <c:pt idx="110">
                  <c:v>60.7939687680127</c:v>
                </c:pt>
                <c:pt idx="111">
                  <c:v>60.6480506807417</c:v>
                </c:pt>
                <c:pt idx="112">
                  <c:v>60.5137446985514</c:v>
                </c:pt>
                <c:pt idx="113">
                  <c:v>60.3912770679238</c:v>
                </c:pt>
                <c:pt idx="114">
                  <c:v>60.2808533758577</c:v>
                </c:pt>
                <c:pt idx="115">
                  <c:v>60.182657798684</c:v>
                </c:pt>
                <c:pt idx="116">
                  <c:v>60.0968524255801</c:v>
                </c:pt>
                <c:pt idx="117">
                  <c:v>60.0235766597798</c:v>
                </c:pt>
                <c:pt idx="118">
                  <c:v>59.962946700067</c:v>
                </c:pt>
                <c:pt idx="119">
                  <c:v>59.9150551047729</c:v>
                </c:pt>
                <c:pt idx="120">
                  <c:v>59.8799704400845</c:v>
                </c:pt>
                <c:pt idx="121">
                  <c:v>59.8577370141362</c:v>
                </c:pt>
                <c:pt idx="122">
                  <c:v>59.8483746979509</c:v>
                </c:pt>
                <c:pt idx="123">
                  <c:v>59.8518788339573</c:v>
                </c:pt>
                <c:pt idx="124">
                  <c:v>59.8682202324418</c:v>
                </c:pt>
                <c:pt idx="125">
                  <c:v>59.8973452559352</c:v>
                </c:pt>
                <c:pt idx="126">
                  <c:v>59.9391759911829</c:v>
                </c:pt>
                <c:pt idx="127">
                  <c:v>59.993610507975</c:v>
                </c:pt>
                <c:pt idx="128">
                  <c:v>60.0605232037685</c:v>
                </c:pt>
                <c:pt idx="129">
                  <c:v>60.1397652326479</c:v>
                </c:pt>
                <c:pt idx="130">
                  <c:v>60.231165016802</c:v>
                </c:pt>
                <c:pt idx="131">
                  <c:v>60.3345288383192</c:v>
                </c:pt>
                <c:pt idx="132">
                  <c:v>60.4496415087022</c:v>
                </c:pt>
                <c:pt idx="133">
                  <c:v>60.5762671131239</c:v>
                </c:pt>
                <c:pt idx="134">
                  <c:v>60.7141498260415</c:v>
                </c:pt>
                <c:pt idx="135">
                  <c:v>60.8630147943857</c:v>
                </c:pt>
                <c:pt idx="136">
                  <c:v>61.0225690841606</c:v>
                </c:pt>
                <c:pt idx="137">
                  <c:v>61.1925026858878</c:v>
                </c:pt>
                <c:pt idx="138">
                  <c:v>61.3724895739631</c:v>
                </c:pt>
                <c:pt idx="139">
                  <c:v>61.5621888146377</c:v>
                </c:pt>
                <c:pt idx="140">
                  <c:v>61.7612457169951</c:v>
                </c:pt>
                <c:pt idx="141">
                  <c:v>61.9692930210059</c:v>
                </c:pt>
                <c:pt idx="142">
                  <c:v>62.1859521164572</c:v>
                </c:pt>
                <c:pt idx="143">
                  <c:v>62.4108342863498</c:v>
                </c:pt>
                <c:pt idx="144">
                  <c:v>62.6435419681621</c:v>
                </c:pt>
                <c:pt idx="145">
                  <c:v>62.8836700262646</c:v>
                </c:pt>
                <c:pt idx="146">
                  <c:v>63.130807028696</c:v>
                </c:pt>
                <c:pt idx="147">
                  <c:v>63.3845365215085</c:v>
                </c:pt>
                <c:pt idx="148">
                  <c:v>63.6444382939405</c:v>
                </c:pt>
                <c:pt idx="149">
                  <c:v>63.9100896277936</c:v>
                </c:pt>
                <c:pt idx="150">
                  <c:v>64.181066524573</c:v>
                </c:pt>
                <c:pt idx="151">
                  <c:v>64.4569449041923</c:v>
                </c:pt>
                <c:pt idx="152">
                  <c:v>64.7373017693428</c:v>
                </c:pt>
                <c:pt idx="153">
                  <c:v>65.0217163299902</c:v>
                </c:pt>
                <c:pt idx="154">
                  <c:v>65.3097710828675</c:v>
                </c:pt>
                <c:pt idx="155">
                  <c:v>65.6010528412806</c:v>
                </c:pt>
                <c:pt idx="156">
                  <c:v>65.8951537110452</c:v>
                </c:pt>
                <c:pt idx="157">
                  <c:v>66.1916720088871</c:v>
                </c:pt>
                <c:pt idx="158">
                  <c:v>66.490213120186</c:v>
                </c:pt>
                <c:pt idx="159">
                  <c:v>66.7903902935108</c:v>
                </c:pt>
                <c:pt idx="160">
                  <c:v>67.091825369951</c:v>
                </c:pt>
                <c:pt idx="161">
                  <c:v>67.3941494458332</c:v>
                </c:pt>
                <c:pt idx="162">
                  <c:v>67.6970034679578</c:v>
                </c:pt>
                <c:pt idx="163">
                  <c:v>68.0000387610468</c:v>
                </c:pt>
                <c:pt idx="164">
                  <c:v>68.302917487614</c:v>
                </c:pt>
                <c:pt idx="165">
                  <c:v>68.6053130409606</c:v>
                </c:pt>
                <c:pt idx="166">
                  <c:v>68.9069103724754</c:v>
                </c:pt>
                <c:pt idx="167">
                  <c:v>69.2074062548299</c:v>
                </c:pt>
                <c:pt idx="168">
                  <c:v>69.5065094830564</c:v>
                </c:pt>
                <c:pt idx="169">
                  <c:v>69.8039410158316</c:v>
                </c:pt>
                <c:pt idx="170">
                  <c:v>70.0994340595999</c:v>
                </c:pt>
                <c:pt idx="171">
                  <c:v>70.3927340984031</c:v>
                </c:pt>
                <c:pt idx="172">
                  <c:v>70.6835988725163</c:v>
                </c:pt>
                <c:pt idx="173">
                  <c:v>70.9717983091315</c:v>
                </c:pt>
                <c:pt idx="174">
                  <c:v>71.2571144084619</c:v>
                </c:pt>
                <c:pt idx="175">
                  <c:v>71.5393410887205</c:v>
                </c:pt>
                <c:pt idx="176">
                  <c:v>71.818283993458</c:v>
                </c:pt>
                <c:pt idx="177">
                  <c:v>72.0937602647543</c:v>
                </c:pt>
                <c:pt idx="178">
                  <c:v>72.365598285734</c:v>
                </c:pt>
                <c:pt idx="179">
                  <c:v>72.6336373958052</c:v>
                </c:pt>
                <c:pt idx="180">
                  <c:v>72.8977275819452</c:v>
                </c:pt>
                <c:pt idx="181">
                  <c:v>73.1577291492513</c:v>
                </c:pt>
                <c:pt idx="182">
                  <c:v>73.4135123738332</c:v>
                </c:pt>
                <c:pt idx="183">
                  <c:v>73.6649571409994</c:v>
                </c:pt>
                <c:pt idx="184">
                  <c:v>73.9119525715178</c:v>
                </c:pt>
                <c:pt idx="185">
                  <c:v>74.1543966385701</c:v>
                </c:pt>
                <c:pt idx="186">
                  <c:v>74.3921957778512</c:v>
                </c:pt>
                <c:pt idx="187">
                  <c:v>74.6252644930748</c:v>
                </c:pt>
                <c:pt idx="188">
                  <c:v>74.8535249589833</c:v>
                </c:pt>
                <c:pt idx="189">
                  <c:v>75.0769066237617</c:v>
                </c:pt>
                <c:pt idx="190">
                  <c:v>75.2953458125907</c:v>
                </c:pt>
                <c:pt idx="191">
                  <c:v>75.5087853338981</c:v>
                </c:pt>
                <c:pt idx="192">
                  <c:v>75.7171740896892</c:v>
                </c:pt>
                <c:pt idx="193">
                  <c:v>75.9204666911843</c:v>
                </c:pt>
                <c:pt idx="194">
                  <c:v>76.11862308083</c:v>
                </c:pt>
                <c:pt idx="195">
                  <c:v>76.3116081615991</c:v>
                </c:pt>
                <c:pt idx="196">
                  <c:v>76.4993914343612</c:v>
                </c:pt>
                <c:pt idx="197">
                  <c:v>76.6819466439674</c:v>
                </c:pt>
                <c:pt idx="198">
                  <c:v>76.8592514345688</c:v>
                </c:pt>
                <c:pt idx="199">
                  <c:v>77.0312870145841</c:v>
                </c:pt>
                <c:pt idx="200">
                  <c:v>77.1980378316102</c:v>
                </c:pt>
                <c:pt idx="201">
                  <c:v>77.3594912574892</c:v>
                </c:pt>
                <c:pt idx="202">
                  <c:v>77.5156372836464</c:v>
                </c:pt>
                <c:pt idx="203">
                  <c:v>77.6664682267359</c:v>
                </c:pt>
                <c:pt idx="204">
                  <c:v>77.811978444564</c:v>
                </c:pt>
                <c:pt idx="205">
                  <c:v>77.9521640621885</c:v>
                </c:pt>
                <c:pt idx="206">
                  <c:v>78.0870227080403</c:v>
                </c:pt>
                <c:pt idx="207">
                  <c:v>78.2165532598599</c:v>
                </c:pt>
                <c:pt idx="208">
                  <c:v>78.3407556002013</c:v>
                </c:pt>
                <c:pt idx="209">
                  <c:v>78.459630381211</c:v>
                </c:pt>
                <c:pt idx="210">
                  <c:v>78.5731787983646</c:v>
                </c:pt>
                <c:pt idx="211">
                  <c:v>78.6814023728101</c:v>
                </c:pt>
                <c:pt idx="212">
                  <c:v>78.784302741945</c:v>
                </c:pt>
                <c:pt idx="213">
                  <c:v>78.8818814578394</c:v>
                </c:pt>
                <c:pt idx="214">
                  <c:v>78.9741397930943</c:v>
                </c:pt>
                <c:pt idx="215">
                  <c:v>79.0610785537225</c:v>
                </c:pt>
                <c:pt idx="216">
                  <c:v>79.1426978986216</c:v>
                </c:pt>
                <c:pt idx="217">
                  <c:v>79.2189971652125</c:v>
                </c:pt>
                <c:pt idx="218">
                  <c:v>79.2899747008041</c:v>
                </c:pt>
                <c:pt idx="219">
                  <c:v>79.3556276992553</c:v>
                </c:pt>
                <c:pt idx="220">
                  <c:v>79.415952042498</c:v>
                </c:pt>
                <c:pt idx="221">
                  <c:v>79.4709421464938</c:v>
                </c:pt>
                <c:pt idx="222">
                  <c:v>79.5205908112031</c:v>
                </c:pt>
                <c:pt idx="223">
                  <c:v>79.5648890741484</c:v>
                </c:pt>
                <c:pt idx="224">
                  <c:v>79.603826067168</c:v>
                </c:pt>
                <c:pt idx="225">
                  <c:v>79.6373888759647</c:v>
                </c:pt>
                <c:pt idx="226">
                  <c:v>79.6655624020651</c:v>
                </c:pt>
                <c:pt idx="227">
                  <c:v>79.6883292268211</c:v>
                </c:pt>
                <c:pt idx="228">
                  <c:v>79.7056694770997</c:v>
                </c:pt>
                <c:pt idx="229">
                  <c:v>79.7175606923236</c:v>
                </c:pt>
                <c:pt idx="230">
                  <c:v>79.7239776925451</c:v>
                </c:pt>
                <c:pt idx="231">
                  <c:v>79.7248924472532</c:v>
                </c:pt>
                <c:pt idx="232">
                  <c:v>79.7202739446397</c:v>
                </c:pt>
                <c:pt idx="233">
                  <c:v>79.7100880610706</c:v>
                </c:pt>
                <c:pt idx="234">
                  <c:v>79.6942974305384</c:v>
                </c:pt>
                <c:pt idx="235">
                  <c:v>79.6728613138951</c:v>
                </c:pt>
                <c:pt idx="236">
                  <c:v>79.6457354677034</c:v>
                </c:pt>
                <c:pt idx="237">
                  <c:v>79.6128720125683</c:v>
                </c:pt>
                <c:pt idx="238">
                  <c:v>79.5742193008548</c:v>
                </c:pt>
                <c:pt idx="239">
                  <c:v>79.5297217837368</c:v>
                </c:pt>
                <c:pt idx="240">
                  <c:v>79.4793198775585</c:v>
                </c:pt>
                <c:pt idx="241">
                  <c:v>79.422949829545</c:v>
                </c:pt>
                <c:pt idx="242">
                  <c:v>79.3605435829425</c:v>
                </c:pt>
                <c:pt idx="243">
                  <c:v>79.2920286417282</c:v>
                </c:pt>
                <c:pt idx="244">
                  <c:v>79.2173279350835</c:v>
                </c:pt>
                <c:pt idx="245">
                  <c:v>79.1363596818946</c:v>
                </c:pt>
                <c:pt idx="246">
                  <c:v>79.0490372556037</c:v>
                </c:pt>
                <c:pt idx="247">
                  <c:v>78.9552690498173</c:v>
                </c:pt>
                <c:pt idx="248">
                  <c:v>78.8549583451481</c:v>
                </c:pt>
                <c:pt idx="249">
                  <c:v>78.7480031778541</c:v>
                </c:pt>
                <c:pt idx="250">
                  <c:v>78.6342962109271</c:v>
                </c:pt>
                <c:pt idx="251">
                  <c:v>78.5137246083739</c:v>
                </c:pt>
                <c:pt idx="252">
                  <c:v>78.3861699135351</c:v>
                </c:pt>
                <c:pt idx="253">
                  <c:v>78.251507932386</c:v>
                </c:pt>
                <c:pt idx="254">
                  <c:v>78.1096086228722</c:v>
                </c:pt>
                <c:pt idx="255">
                  <c:v>77.9603359914488</c:v>
                </c:pt>
                <c:pt idx="256">
                  <c:v>77.803547998093</c:v>
                </c:pt>
                <c:pt idx="257">
                  <c:v>77.6390964711949</c:v>
                </c:pt>
                <c:pt idx="258">
                  <c:v>77.4668270338298</c:v>
                </c:pt>
                <c:pt idx="259">
                  <c:v>77.2865790430488</c:v>
                </c:pt>
                <c:pt idx="260">
                  <c:v>77.0981855439312</c:v>
                </c:pt>
                <c:pt idx="261">
                  <c:v>76.901473240259</c:v>
                </c:pt>
                <c:pt idx="262">
                  <c:v>76.6962624837864</c:v>
                </c:pt>
                <c:pt idx="263">
                  <c:v>76.4823672841716</c:v>
                </c:pt>
                <c:pt idx="264">
                  <c:v>76.2595953417417</c:v>
                </c:pt>
                <c:pt idx="265">
                  <c:v>76.0277481053335</c:v>
                </c:pt>
                <c:pt idx="266">
                  <c:v>75.7866208575305</c:v>
                </c:pt>
                <c:pt idx="267">
                  <c:v>75.5360028296594</c:v>
                </c:pt>
                <c:pt idx="268">
                  <c:v>75.2756773489453</c:v>
                </c:pt>
                <c:pt idx="269">
                  <c:v>75.0054220202325</c:v>
                </c:pt>
                <c:pt idx="270">
                  <c:v>74.7250089446585</c:v>
                </c:pt>
                <c:pt idx="271">
                  <c:v>74.4342049776197</c:v>
                </c:pt>
                <c:pt idx="272">
                  <c:v>74.1327720282891</c:v>
                </c:pt>
                <c:pt idx="273">
                  <c:v>73.8204674028317</c:v>
                </c:pt>
                <c:pt idx="274">
                  <c:v>73.497044193302</c:v>
                </c:pt>
                <c:pt idx="275">
                  <c:v>73.1622517140181</c:v>
                </c:pt>
                <c:pt idx="276">
                  <c:v>72.815835986964</c:v>
                </c:pt>
                <c:pt idx="277">
                  <c:v>72.4575402774908</c:v>
                </c:pt>
                <c:pt idx="278">
                  <c:v>72.0871056812459</c:v>
                </c:pt>
                <c:pt idx="279">
                  <c:v>71.7042717629025</c:v>
                </c:pt>
                <c:pt idx="280">
                  <c:v>71.3087772468058</c:v>
                </c:pt>
                <c:pt idx="281">
                  <c:v>70.9003607592254</c:v>
                </c:pt>
                <c:pt idx="282">
                  <c:v>70.4787616213482</c:v>
                </c:pt>
                <c:pt idx="283">
                  <c:v>70.0437206916304</c:v>
                </c:pt>
                <c:pt idx="284">
                  <c:v>69.594981255524</c:v>
                </c:pt>
                <c:pt idx="285">
                  <c:v>69.132289959979</c:v>
                </c:pt>
                <c:pt idx="286">
                  <c:v>68.6553977895009</c:v>
                </c:pt>
                <c:pt idx="287">
                  <c:v>68.164061079868</c:v>
                </c:pt>
                <c:pt idx="288">
                  <c:v>67.6580425649818</c:v>
                </c:pt>
                <c:pt idx="289">
                  <c:v>67.1371124516474</c:v>
                </c:pt>
                <c:pt idx="290">
                  <c:v>66.6010495164674</c:v>
                </c:pt>
                <c:pt idx="291">
                  <c:v>66.0496422183941</c:v>
                </c:pt>
                <c:pt idx="292">
                  <c:v>65.4826898199373</c:v>
                </c:pt>
                <c:pt idx="293">
                  <c:v>64.9000035094848</c:v>
                </c:pt>
                <c:pt idx="294">
                  <c:v>64.3014075167251</c:v>
                </c:pt>
                <c:pt idx="295">
                  <c:v>63.6867402127973</c:v>
                </c:pt>
                <c:pt idx="296">
                  <c:v>63.0558551864513</c:v>
                </c:pt>
                <c:pt idx="297">
                  <c:v>62.408622287319</c:v>
                </c:pt>
                <c:pt idx="298">
                  <c:v>61.7449286272668</c:v>
                </c:pt>
                <c:pt idx="299">
                  <c:v>61.0646795308099</c:v>
                </c:pt>
                <c:pt idx="300">
                  <c:v>60.367799425671</c:v>
                </c:pt>
                <c:pt idx="301">
                  <c:v>59.6542326648099</c:v>
                </c:pt>
                <c:pt idx="302">
                  <c:v>58.9239442715946</c:v>
                </c:pt>
                <c:pt idx="303">
                  <c:v>58.1769206002492</c:v>
                </c:pt>
                <c:pt idx="304">
                  <c:v>57.4131699043157</c:v>
                </c:pt>
                <c:pt idx="305">
                  <c:v>56.6327228065545</c:v>
                </c:pt>
                <c:pt idx="306">
                  <c:v>55.8356326645089</c:v>
                </c:pt>
                <c:pt idx="307">
                  <c:v>55.021975826862</c:v>
                </c:pt>
                <c:pt idx="308">
                  <c:v>54.1918517766797</c:v>
                </c:pt>
                <c:pt idx="309">
                  <c:v>53.3453831587023</c:v>
                </c:pt>
                <c:pt idx="310">
                  <c:v>52.48271568893</c:v>
                </c:pt>
                <c:pt idx="311">
                  <c:v>51.6040179459058</c:v>
                </c:pt>
                <c:pt idx="312">
                  <c:v>50.7094810442573</c:v>
                </c:pt>
                <c:pt idx="313">
                  <c:v>49.7993181922458</c:v>
                </c:pt>
                <c:pt idx="314">
                  <c:v>48.8737641362174</c:v>
                </c:pt>
                <c:pt idx="315">
                  <c:v>47.9330744960117</c:v>
                </c:pt>
                <c:pt idx="316">
                  <c:v>46.9775249964531</c:v>
                </c:pt>
                <c:pt idx="317">
                  <c:v>46.0074106011047</c:v>
                </c:pt>
                <c:pt idx="318">
                  <c:v>45.0230445554345</c:v>
                </c:pt>
                <c:pt idx="319">
                  <c:v>44.0247573473934</c:v>
                </c:pt>
                <c:pt idx="320">
                  <c:v>43.0128955942188</c:v>
                </c:pt>
                <c:pt idx="321">
                  <c:v>41.9878208649414</c:v>
                </c:pt>
                <c:pt idx="322">
                  <c:v>40.9499084486269</c:v>
                </c:pt>
                <c:pt idx="323">
                  <c:v>39.8995460788364</c:v>
                </c:pt>
                <c:pt idx="324">
                  <c:v>38.8371326251018</c:v>
                </c:pt>
                <c:pt idx="325">
                  <c:v>37.7630767623981</c:v>
                </c:pt>
                <c:pt idx="326">
                  <c:v>36.6777956296674</c:v>
                </c:pt>
                <c:pt idx="327">
                  <c:v>35.5817134883614</c:v>
                </c:pt>
                <c:pt idx="328">
                  <c:v>34.4752603918128</c:v>
                </c:pt>
                <c:pt idx="329">
                  <c:v>33.3588708759111</c:v>
                </c:pt>
                <c:pt idx="330">
                  <c:v>32.2329826811615</c:v>
                </c:pt>
                <c:pt idx="331">
                  <c:v>31.0980355156551</c:v>
                </c:pt>
                <c:pt idx="332">
                  <c:v>29.9544698678974</c:v>
                </c:pt>
                <c:pt idx="333">
                  <c:v>28.8027258776859</c:v>
                </c:pt>
                <c:pt idx="334">
                  <c:v>27.6432422724902</c:v>
                </c:pt>
                <c:pt idx="335">
                  <c:v>26.4764553759016</c:v>
                </c:pt>
                <c:pt idx="336">
                  <c:v>25.3027981938486</c:v>
                </c:pt>
                <c:pt idx="337">
                  <c:v>24.1226995832903</c:v>
                </c:pt>
                <c:pt idx="338">
                  <c:v>22.9365835071725</c:v>
                </c:pt>
                <c:pt idx="339">
                  <c:v>21.7448683783931</c:v>
                </c:pt>
                <c:pt idx="340">
                  <c:v>20.5479664945552</c:v>
                </c:pt>
                <c:pt idx="341">
                  <c:v>19.3462835642701</c:v>
                </c:pt>
                <c:pt idx="342">
                  <c:v>18.1402183248133</c:v>
                </c:pt>
                <c:pt idx="343">
                  <c:v>16.9301622499691</c:v>
                </c:pt>
                <c:pt idx="344">
                  <c:v>15.7164993459862</c:v>
                </c:pt>
                <c:pt idx="345">
                  <c:v>14.4996060326983</c:v>
                </c:pt>
                <c:pt idx="346">
                  <c:v>13.2798511060443</c:v>
                </c:pt>
                <c:pt idx="347">
                  <c:v>12.057595777463</c:v>
                </c:pt>
                <c:pt idx="348">
                  <c:v>10.8331937849385</c:v>
                </c:pt>
                <c:pt idx="349">
                  <c:v>9.60699156986406</c:v>
                </c:pt>
                <c:pt idx="350">
                  <c:v>8.3793285133387</c:v>
                </c:pt>
                <c:pt idx="351">
                  <c:v>7.15053722505297</c:v>
                </c:pt>
                <c:pt idx="352">
                  <c:v>5.920943877528</c:v>
                </c:pt>
                <c:pt idx="353">
                  <c:v>4.69086857820034</c:v>
                </c:pt>
                <c:pt idx="354">
                  <c:v>3.46062577160124</c:v>
                </c:pt>
                <c:pt idx="355">
                  <c:v>2.23052466379527</c:v>
                </c:pt>
                <c:pt idx="356">
                  <c:v>1.00086966116886</c:v>
                </c:pt>
                <c:pt idx="357">
                  <c:v>-0.228039184254469</c:v>
                </c:pt>
                <c:pt idx="358">
                  <c:v>-1.45590573069257</c:v>
                </c:pt>
                <c:pt idx="359">
                  <c:v>-2.68243731115907</c:v>
                </c:pt>
                <c:pt idx="360">
                  <c:v>-3.90734431389526</c:v>
                </c:pt>
                <c:pt idx="361">
                  <c:v>-5.13033978550257</c:v>
                </c:pt>
                <c:pt idx="362">
                  <c:v>-6.35113906317026</c:v>
                </c:pt>
                <c:pt idx="363">
                  <c:v>-7.56945944187094</c:v>
                </c:pt>
                <c:pt idx="364">
                  <c:v>-8.78501988184846</c:v>
                </c:pt>
                <c:pt idx="365">
                  <c:v>-9.99754076109243</c:v>
                </c:pt>
                <c:pt idx="366">
                  <c:v>-11.2067436768345</c:v>
                </c:pt>
                <c:pt idx="367">
                  <c:v>-12.4123512993958</c:v>
                </c:pt>
                <c:pt idx="368">
                  <c:v>-13.6140872809801</c:v>
                </c:pt>
                <c:pt idx="369">
                  <c:v>-14.8116762212553</c:v>
                </c:pt>
                <c:pt idx="370">
                  <c:v>-16.004843690795</c:v>
                </c:pt>
                <c:pt idx="371">
                  <c:v>-17.1933163126853</c:v>
                </c:pt>
                <c:pt idx="372">
                  <c:v>-18.3768219018331</c:v>
                </c:pt>
                <c:pt idx="373">
                  <c:v>-19.5550896607705</c:v>
                </c:pt>
                <c:pt idx="374">
                  <c:v>-20.7278504300308</c:v>
                </c:pt>
                <c:pt idx="375">
                  <c:v>-21.8948369904848</c:v>
                </c:pt>
                <c:pt idx="376">
                  <c:v>-23.055784414386</c:v>
                </c:pt>
                <c:pt idx="377">
                  <c:v>-24.2104304612998</c:v>
                </c:pt>
                <c:pt idx="378">
                  <c:v>-25.3585160145522</c:v>
                </c:pt>
                <c:pt idx="379">
                  <c:v>-26.4997855533953</c:v>
                </c:pt>
                <c:pt idx="380">
                  <c:v>-27.6339876556869</c:v>
                </c:pt>
                <c:pt idx="381">
                  <c:v>-28.7608755255973</c:v>
                </c:pt>
                <c:pt idx="382">
                  <c:v>-29.8802075406205</c:v>
                </c:pt>
                <c:pt idx="383">
                  <c:v>-30.991747812026</c:v>
                </c:pt>
                <c:pt idx="384">
                  <c:v>-32.0952667528465</c:v>
                </c:pt>
                <c:pt idx="385">
                  <c:v>-33.190541647494</c:v>
                </c:pt>
                <c:pt idx="386">
                  <c:v>-34.2773572172289</c:v>
                </c:pt>
                <c:pt idx="387">
                  <c:v>-35.3555061758605</c:v>
                </c:pt>
                <c:pt idx="388">
                  <c:v>-36.4247897703235</c:v>
                </c:pt>
                <c:pt idx="389">
                  <c:v>-37.4850183010683</c:v>
                </c:pt>
                <c:pt idx="390">
                  <c:v>-38.5360116175788</c:v>
                </c:pt>
                <c:pt idx="391">
                  <c:v>-39.577599584757</c:v>
                </c:pt>
                <c:pt idx="392">
                  <c:v>-40.6096225163354</c:v>
                </c:pt>
                <c:pt idx="393">
                  <c:v>-41.6319315719981</c:v>
                </c:pt>
                <c:pt idx="394">
                  <c:v>-42.6443891153777</c:v>
                </c:pt>
                <c:pt idx="395">
                  <c:v>-43.6468690306129</c:v>
                </c:pt>
                <c:pt idx="396">
                  <c:v>-44.6392569956917</c:v>
                </c:pt>
                <c:pt idx="397">
                  <c:v>-45.6214507112989</c:v>
                </c:pt>
                <c:pt idx="398">
                  <c:v>-46.5933600844169</c:v>
                </c:pt>
                <c:pt idx="399">
                  <c:v>-47.5549073664044</c:v>
                </c:pt>
                <c:pt idx="400">
                  <c:v>-48.5060272457385</c:v>
                </c:pt>
                <c:pt idx="401">
                  <c:v>-49.4466668960551</c:v>
                </c:pt>
                <c:pt idx="402">
                  <c:v>-50.3767859804951</c:v>
                </c:pt>
                <c:pt idx="403">
                  <c:v>-51.2963566137576</c:v>
                </c:pt>
                <c:pt idx="404">
                  <c:v>-52.2053632835516</c:v>
                </c:pt>
                <c:pt idx="405">
                  <c:v>-53.1038027334341</c:v>
                </c:pt>
                <c:pt idx="406">
                  <c:v>-53.9916838092569</c:v>
                </c:pt>
                <c:pt idx="407">
                  <c:v>-54.8690272716287</c:v>
                </c:pt>
                <c:pt idx="408">
                  <c:v>-55.7358655769684</c:v>
                </c:pt>
                <c:pt idx="409">
                  <c:v>-56.5922426298171</c:v>
                </c:pt>
                <c:pt idx="410">
                  <c:v>-57.4382135091624</c:v>
                </c:pt>
                <c:pt idx="411">
                  <c:v>-58.2738441715696</c:v>
                </c:pt>
                <c:pt idx="412">
                  <c:v>-59.0992111338996</c:v>
                </c:pt>
                <c:pt idx="413">
                  <c:v>-59.9144011383929</c:v>
                </c:pt>
                <c:pt idx="414">
                  <c:v>-60.7195108028187</c:v>
                </c:pt>
                <c:pt idx="415">
                  <c:v>-61.5146462583387</c:v>
                </c:pt>
                <c:pt idx="416">
                  <c:v>-62.2999227776112</c:v>
                </c:pt>
                <c:pt idx="417">
                  <c:v>-63.0754643955651</c:v>
                </c:pt>
                <c:pt idx="418">
                  <c:v>-63.8414035251339</c:v>
                </c:pt>
                <c:pt idx="419">
                  <c:v>-64.5978805701018</c:v>
                </c:pt>
                <c:pt idx="420">
                  <c:v>-65.3450435370656</c:v>
                </c:pt>
                <c:pt idx="421">
                  <c:v>-66.0830476483611</c:v>
                </c:pt>
                <c:pt idx="422">
                  <c:v>-66.8120549576369</c:v>
                </c:pt>
                <c:pt idx="423">
                  <c:v>-67.5322339696124</c:v>
                </c:pt>
                <c:pt idx="424">
                  <c:v>-68.2437592653837</c:v>
                </c:pt>
                <c:pt idx="425">
                  <c:v>-68.9468111344877</c:v>
                </c:pt>
                <c:pt idx="426">
                  <c:v>-69.6415752147875</c:v>
                </c:pt>
                <c:pt idx="427">
                  <c:v>-70.3282421410811</c:v>
                </c:pt>
                <c:pt idx="428">
                  <c:v>-71.0070072032013</c:v>
                </c:pt>
                <c:pt idx="429">
                  <c:v>-71.6780700142356</c:v>
                </c:pt>
                <c:pt idx="430">
                  <c:v>-72.3416341893582</c:v>
                </c:pt>
                <c:pt idx="431">
                  <c:v>-72.9979070356584</c:v>
                </c:pt>
                <c:pt idx="432">
                  <c:v>-73.647099253216</c:v>
                </c:pt>
                <c:pt idx="433">
                  <c:v>-74.2894246475871</c:v>
                </c:pt>
                <c:pt idx="434">
                  <c:v>-74.9250998537458</c:v>
                </c:pt>
                <c:pt idx="435">
                  <c:v>-75.5543440714555</c:v>
                </c:pt>
                <c:pt idx="436">
                  <c:v>-76.1773788119391</c:v>
                </c:pt>
                <c:pt idx="437">
                  <c:v>-76.7944276556633</c:v>
                </c:pt>
                <c:pt idx="438">
                  <c:v>-77.4057160209636</c:v>
                </c:pt>
                <c:pt idx="439">
                  <c:v>-78.0114709431879</c:v>
                </c:pt>
                <c:pt idx="440">
                  <c:v>-78.6119208639727</c:v>
                </c:pt>
                <c:pt idx="441">
                  <c:v>-79.2072954302222</c:v>
                </c:pt>
                <c:pt idx="442">
                  <c:v>-79.7978253023095</c:v>
                </c:pt>
                <c:pt idx="443">
                  <c:v>-80.3837419709885</c:v>
                </c:pt>
                <c:pt idx="444">
                  <c:v>-80.9652775824585</c:v>
                </c:pt>
                <c:pt idx="445">
                  <c:v>-81.5426647710112</c:v>
                </c:pt>
                <c:pt idx="446">
                  <c:v>-82.1161364986443</c:v>
                </c:pt>
                <c:pt idx="447">
                  <c:v>-82.6859259010182</c:v>
                </c:pt>
                <c:pt idx="448">
                  <c:v>-83.2522661391077</c:v>
                </c:pt>
                <c:pt idx="449">
                  <c:v>-83.8153902558842</c:v>
                </c:pt>
                <c:pt idx="450">
                  <c:v>-84.375531037352</c:v>
                </c:pt>
                <c:pt idx="451">
                  <c:v>-84.9329208772528</c:v>
                </c:pt>
                <c:pt idx="452">
                  <c:v>-85.4877916447407</c:v>
                </c:pt>
                <c:pt idx="453">
                  <c:v>-86.0403745543267</c:v>
                </c:pt>
                <c:pt idx="454">
                  <c:v>-86.590900037388</c:v>
                </c:pt>
                <c:pt idx="455">
                  <c:v>-87.1395976145283</c:v>
                </c:pt>
                <c:pt idx="456">
                  <c:v>-87.6866957680855</c:v>
                </c:pt>
                <c:pt idx="457">
                  <c:v>-88.232421814073</c:v>
                </c:pt>
                <c:pt idx="458">
                  <c:v>-88.7770017728503</c:v>
                </c:pt>
                <c:pt idx="459">
                  <c:v>-89.3206602378203</c:v>
                </c:pt>
                <c:pt idx="460">
                  <c:v>-89.8636202414583</c:v>
                </c:pt>
                <c:pt idx="461">
                  <c:v>-90.4061031179819</c:v>
                </c:pt>
                <c:pt idx="462">
                  <c:v>-90.9483283619861</c:v>
                </c:pt>
                <c:pt idx="463">
                  <c:v>-91.4905134823781</c:v>
                </c:pt>
                <c:pt idx="464">
                  <c:v>-92.0328738509558</c:v>
                </c:pt>
                <c:pt idx="465">
                  <c:v>-92.5756225450009</c:v>
                </c:pt>
                <c:pt idx="466">
                  <c:v>-93.1189701832699</c:v>
                </c:pt>
                <c:pt idx="467">
                  <c:v>-93.6631247547904</c:v>
                </c:pt>
                <c:pt idx="468">
                  <c:v>-94.2082914399023</c:v>
                </c:pt>
                <c:pt idx="469">
                  <c:v>-94.7546724230061</c:v>
                </c:pt>
                <c:pt idx="470">
                  <c:v>-95.3024666965225</c:v>
                </c:pt>
                <c:pt idx="471">
                  <c:v>-95.8518698556033</c:v>
                </c:pt>
                <c:pt idx="472">
                  <c:v>-96.4030738831786</c:v>
                </c:pt>
                <c:pt idx="473">
                  <c:v>-96.9562669249776</c:v>
                </c:pt>
                <c:pt idx="474">
                  <c:v>-97.5116330542127</c:v>
                </c:pt>
                <c:pt idx="475">
                  <c:v>-98.0693520256827</c:v>
                </c:pt>
                <c:pt idx="476">
                  <c:v>-98.6295990191181</c:v>
                </c:pt>
                <c:pt idx="477">
                  <c:v>-99.1925443716676</c:v>
                </c:pt>
                <c:pt idx="478">
                  <c:v>-99.7583532995078</c:v>
                </c:pt>
                <c:pt idx="479">
                  <c:v>-100.327185608655</c:v>
                </c:pt>
                <c:pt idx="480">
                  <c:v>-100.899195395146</c:v>
                </c:pt>
                <c:pt idx="481">
                  <c:v>-101.474530734878</c:v>
                </c:pt>
                <c:pt idx="482">
                  <c:v>-102.053333363498</c:v>
                </c:pt>
                <c:pt idx="483">
                  <c:v>-102.635738346868</c:v>
                </c:pt>
                <c:pt idx="484">
                  <c:v>-103.221873742753</c:v>
                </c:pt>
                <c:pt idx="485">
                  <c:v>-103.811860254544</c:v>
                </c:pt>
                <c:pt idx="486">
                  <c:v>-104.405810877929</c:v>
                </c:pt>
                <c:pt idx="487">
                  <c:v>-105.003830541633</c:v>
                </c:pt>
                <c:pt idx="488">
                  <c:v>-105.606015743473</c:v>
                </c:pt>
                <c:pt idx="489">
                  <c:v>-106.212454183149</c:v>
                </c:pt>
                <c:pt idx="490">
                  <c:v>-106.823224393364</c:v>
                </c:pt>
                <c:pt idx="491">
                  <c:v>-107.438395371029</c:v>
                </c:pt>
                <c:pt idx="492">
                  <c:v>-108.058026210505</c:v>
                </c:pt>
                <c:pt idx="493">
                  <c:v>-108.682165740958</c:v>
                </c:pt>
                <c:pt idx="494">
                  <c:v>-109.310852170129</c:v>
                </c:pt>
                <c:pt idx="495">
                  <c:v>-109.944112736928</c:v>
                </c:pt>
                <c:pt idx="496">
                  <c:v>-110.581963375458</c:v>
                </c:pt>
                <c:pt idx="497">
                  <c:v>-111.224408393179</c:v>
                </c:pt>
                <c:pt idx="498">
                  <c:v>-111.871440166078</c:v>
                </c:pt>
                <c:pt idx="499">
                  <c:v>-112.523038853806</c:v>
                </c:pt>
                <c:pt idx="500">
                  <c:v>-113.179172137824</c:v>
                </c:pt>
                <c:pt idx="501">
                  <c:v>-113.839794985688</c:v>
                </c:pt>
                <c:pt idx="502">
                  <c:v>-114.504849444614</c:v>
                </c:pt>
                <c:pt idx="503">
                  <c:v>-115.174264467478</c:v>
                </c:pt>
                <c:pt idx="504">
                  <c:v>-115.847955774393</c:v>
                </c:pt>
                <c:pt idx="505">
                  <c:v>-116.525825752906</c:v>
                </c:pt>
                <c:pt idx="506">
                  <c:v>-117.207763399792</c:v>
                </c:pt>
                <c:pt idx="507">
                  <c:v>-117.893644307252</c:v>
                </c:pt>
                <c:pt idx="508">
                  <c:v>-118.583330696138</c:v>
                </c:pt>
                <c:pt idx="509">
                  <c:v>-119.276671498608</c:v>
                </c:pt>
                <c:pt idx="510">
                  <c:v>-119.973502492331</c:v>
                </c:pt>
                <c:pt idx="511">
                  <c:v>-120.673646488034</c:v>
                </c:pt>
                <c:pt idx="512">
                  <c:v>-121.376913571857</c:v>
                </c:pt>
                <c:pt idx="513">
                  <c:v>-122.08310140355</c:v>
                </c:pt>
                <c:pt idx="514">
                  <c:v>-122.791995571124</c:v>
                </c:pt>
                <c:pt idx="515">
                  <c:v>-123.503370002116</c:v>
                </c:pt>
                <c:pt idx="516">
                  <c:v>-124.216987431121</c:v>
                </c:pt>
                <c:pt idx="517">
                  <c:v>-124.932599922735</c:v>
                </c:pt>
                <c:pt idx="518">
                  <c:v>-125.649949448532</c:v>
                </c:pt>
                <c:pt idx="519">
                  <c:v>-126.36876851616</c:v>
                </c:pt>
                <c:pt idx="520">
                  <c:v>-127.088780848116</c:v>
                </c:pt>
                <c:pt idx="521">
                  <c:v>-127.809702107231</c:v>
                </c:pt>
                <c:pt idx="522">
                  <c:v>-128.531240665395</c:v>
                </c:pt>
                <c:pt idx="523">
                  <c:v>-129.253098411568</c:v>
                </c:pt>
                <c:pt idx="524">
                  <c:v>-129.9749715947</c:v>
                </c:pt>
                <c:pt idx="525">
                  <c:v>-130.696551696751</c:v>
                </c:pt>
                <c:pt idx="526">
                  <c:v>-131.417526330667</c:v>
                </c:pt>
                <c:pt idx="527">
                  <c:v>-132.137580157879</c:v>
                </c:pt>
                <c:pt idx="528">
                  <c:v>-132.856395819646</c:v>
                </c:pt>
                <c:pt idx="529">
                  <c:v>-133.573654876388</c:v>
                </c:pt>
                <c:pt idx="530">
                  <c:v>-134.289038749078</c:v>
                </c:pt>
                <c:pt idx="531">
                  <c:v>-135.002229656713</c:v>
                </c:pt>
                <c:pt idx="532">
                  <c:v>-135.712911543938</c:v>
                </c:pt>
                <c:pt idx="533">
                  <c:v>-136.420770993014</c:v>
                </c:pt>
                <c:pt idx="534">
                  <c:v>-137.125498114481</c:v>
                </c:pt>
                <c:pt idx="535">
                  <c:v>-137.826787411161</c:v>
                </c:pt>
                <c:pt idx="536">
                  <c:v>-138.524338610398</c:v>
                </c:pt>
                <c:pt idx="537">
                  <c:v>-139.217857459841</c:v>
                </c:pt>
                <c:pt idx="538">
                  <c:v>-139.907056482464</c:v>
                </c:pt>
                <c:pt idx="539">
                  <c:v>-140.591655686978</c:v>
                </c:pt>
                <c:pt idx="540">
                  <c:v>-141.271383230262</c:v>
                </c:pt>
                <c:pt idx="541">
                  <c:v>-141.945976028975</c:v>
                </c:pt>
              </c:numCache>
            </c:numRef>
          </c:yVal>
          <c:smooth val="1"/>
        </c:ser>
        <c:dLbls>
          <c:showLegendKey val="0"/>
          <c:showVal val="0"/>
          <c:showCatName val="0"/>
          <c:showSerName val="0"/>
          <c:showPercent val="0"/>
          <c:showBubbleSize val="0"/>
        </c:dLbls>
        <c:axId val="178971776"/>
        <c:axId val="178961792"/>
      </c:scatterChart>
      <c:valAx>
        <c:axId val="178953600"/>
        <c:scaling>
          <c:logBase val="10"/>
          <c:orientation val="minMax"/>
          <c:max val="2200000"/>
          <c:min val="10"/>
        </c:scaling>
        <c:delete val="0"/>
        <c:axPos val="b"/>
        <c:minorGridlines/>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Frequency</a:t>
                </a:r>
                <a:r>
                  <a:rPr lang="en-US" baseline="0"/>
                  <a:t> (Hz)</a:t>
                </a:r>
                <a:endParaRPr lang="en-US"/>
              </a:p>
            </c:rich>
          </c:tx>
          <c:layout/>
          <c:overlay val="0"/>
        </c:title>
        <c:numFmt formatCode="0" sourceLinked="0"/>
        <c:majorTickMark val="out"/>
        <c:minorTickMark val="none"/>
        <c:tickLblPos val="low"/>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59872"/>
        <c:crosses val="autoZero"/>
        <c:crossBetween val="midCat"/>
      </c:valAx>
      <c:valAx>
        <c:axId val="178959872"/>
        <c:scaling>
          <c:orientation val="minMax"/>
          <c:max val="40"/>
          <c:min val="-40"/>
        </c:scaling>
        <c:delete val="0"/>
        <c:axPos val="l"/>
        <c:majorGridlines/>
        <c:minorGridlines/>
        <c:title>
          <c:tx>
            <c:rich>
              <a:bodyPr rot="-540000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solidFill>
                      <a:srgbClr val="FF0000"/>
                    </a:solidFill>
                  </a:rPr>
                  <a:t>Gain</a:t>
                </a:r>
                <a:r>
                  <a:rPr lang="en-US" baseline="0">
                    <a:solidFill>
                      <a:srgbClr val="FF0000"/>
                    </a:solidFill>
                  </a:rPr>
                  <a:t> (dB)</a:t>
                </a:r>
                <a:endParaRPr lang="en-US">
                  <a:solidFill>
                    <a:srgbClr val="FF0000"/>
                  </a:solidFill>
                </a:endParaRPr>
              </a:p>
            </c:rich>
          </c:tx>
          <c:layout/>
          <c:overlay val="0"/>
        </c:title>
        <c:numFmt formatCode="General" sourceLinked="0"/>
        <c:majorTickMark val="out"/>
        <c:minorTickMark val="none"/>
        <c:tickLblPos val="nextTo"/>
        <c:txPr>
          <a:bodyPr rot="-60000000" spcFirstLastPara="0" vertOverflow="ellipsis" vert="horz" wrap="square" anchor="ctr" anchorCtr="1"/>
          <a:lstStyle/>
          <a:p>
            <a:pPr>
              <a:defRPr lang="pl-PL" sz="1000" b="0" i="0" u="none" strike="noStrike" kern="1200" baseline="0">
                <a:solidFill>
                  <a:srgbClr val="FF0000"/>
                </a:solidFill>
                <a:latin typeface="+mn-lt"/>
                <a:ea typeface="+mn-ea"/>
                <a:cs typeface="+mn-cs"/>
              </a:defRPr>
            </a:pPr>
          </a:p>
        </c:txPr>
        <c:crossAx val="178953600"/>
        <c:crosses val="autoZero"/>
        <c:crossBetween val="midCat"/>
        <c:majorUnit val="20"/>
        <c:minorUnit val="10"/>
      </c:valAx>
      <c:valAx>
        <c:axId val="178971776"/>
        <c:scaling>
          <c:logBase val="10"/>
          <c:orientation val="minMax"/>
        </c:scaling>
        <c:delete val="1"/>
        <c:axPos val="b"/>
        <c:numFmt formatCode="0.00"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961792"/>
        <c:crosses val="autoZero"/>
        <c:crossBetween val="midCat"/>
      </c:valAx>
      <c:valAx>
        <c:axId val="178961792"/>
        <c:scaling>
          <c:orientation val="minMax"/>
          <c:max val="180"/>
          <c:min val="-180"/>
        </c:scaling>
        <c:delete val="0"/>
        <c:axPos val="r"/>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lumMod val="95000"/>
                    <a:lumOff val="5000"/>
                  </a:schemeClr>
                </a:solidFill>
                <a:latin typeface="+mn-lt"/>
                <a:ea typeface="+mn-ea"/>
                <a:cs typeface="+mn-cs"/>
              </a:defRPr>
            </a:pPr>
          </a:p>
        </c:txPr>
        <c:crossAx val="178971776"/>
        <c:crosses val="max"/>
        <c:crossBetween val="midCat"/>
        <c:majorUnit val="90"/>
        <c:minorUnit val="45"/>
      </c:valAx>
    </c:plotArea>
    <c:plotVisOnly val="1"/>
    <c:dispBlanksAs val="gap"/>
    <c:showDLblsOverMax val="0"/>
    <c:extLst>
      <c:ext uri="{0b15fc19-7d7d-44ad-8c2d-2c3a37ce22c3}">
        <chartProps xmlns="https://web.wps.cn/et/2018/main" chartId="{d8376ad8-9511-453a-95bc-415188ceb85e}"/>
      </c:ext>
    </c:extLst>
  </c:chart>
  <c:txPr>
    <a:bodyPr/>
    <a:lstStyle/>
    <a:p>
      <a:pPr>
        <a:defRPr lang="pl-PL"/>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lgn="l">
              <a:defRPr lang="pl-PL" sz="2400" b="1" i="0" u="none" strike="noStrike" kern="1200" baseline="0">
                <a:solidFill>
                  <a:schemeClr val="tx1"/>
                </a:solidFill>
                <a:latin typeface="+mn-lt"/>
                <a:ea typeface="+mn-ea"/>
                <a:cs typeface="+mn-cs"/>
              </a:defRPr>
            </a:pPr>
            <a:r>
              <a:rPr lang="el-GR" sz="2400"/>
              <a:t>η</a:t>
            </a:r>
            <a:endParaRPr lang="en-US" sz="2400"/>
          </a:p>
        </c:rich>
      </c:tx>
      <c:layout>
        <c:manualLayout>
          <c:xMode val="edge"/>
          <c:yMode val="edge"/>
          <c:x val="0.0923218382951588"/>
          <c:y val="0.00670690811535882"/>
        </c:manualLayout>
      </c:layout>
      <c:overlay val="1"/>
    </c:title>
    <c:autoTitleDeleted val="0"/>
    <c:plotArea>
      <c:layout>
        <c:manualLayout>
          <c:layoutTarget val="inner"/>
          <c:xMode val="edge"/>
          <c:yMode val="edge"/>
          <c:x val="0.0943435758165804"/>
          <c:y val="0.127775049245605"/>
          <c:w val="0.821706919227287"/>
          <c:h val="0.749827708676531"/>
        </c:manualLayout>
      </c:layout>
      <c:scatterChart>
        <c:scatterStyle val="smooth"/>
        <c:varyColors val="0"/>
        <c:ser>
          <c:idx val="0"/>
          <c:order val="0"/>
          <c:tx>
            <c:strRef>
              <c:f>"Eff"</c:f>
              <c:strCache>
                <c:ptCount val="1"/>
                <c:pt idx="0">
                  <c:v>Eff</c:v>
                </c:pt>
              </c:strCache>
            </c:strRef>
          </c:tx>
          <c:spPr>
            <a:ln w="28575" cap="rnd" cmpd="sng" algn="ctr">
              <a:solidFill>
                <a:srgbClr val="FF0000"/>
              </a:solidFill>
              <a:prstDash val="solid"/>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Eff_vs_IOUT!$AT$7:$AT$157</c:f>
              <c:numCache>
                <c:formatCode>General</c:formatCode>
                <c:ptCount val="151"/>
                <c:pt idx="0">
                  <c:v>0</c:v>
                </c:pt>
                <c:pt idx="1">
                  <c:v>57.8075466800246</c:v>
                </c:pt>
                <c:pt idx="2">
                  <c:v>71.5334726861206</c:v>
                </c:pt>
                <c:pt idx="3">
                  <c:v>77.6440562609289</c:v>
                </c:pt>
                <c:pt idx="4">
                  <c:v>81.0783653150573</c:v>
                </c:pt>
                <c:pt idx="5">
                  <c:v>83.2636592917007</c:v>
                </c:pt>
                <c:pt idx="6">
                  <c:v>84.7654199108757</c:v>
                </c:pt>
                <c:pt idx="7">
                  <c:v>85.8524337773122</c:v>
                </c:pt>
                <c:pt idx="8">
                  <c:v>86.6688008347972</c:v>
                </c:pt>
                <c:pt idx="9">
                  <c:v>87.2987163205759</c:v>
                </c:pt>
                <c:pt idx="10">
                  <c:v>88.4056991549997</c:v>
                </c:pt>
                <c:pt idx="11">
                  <c:v>88.8755266436023</c:v>
                </c:pt>
                <c:pt idx="12">
                  <c:v>89.2688335703066</c:v>
                </c:pt>
                <c:pt idx="13">
                  <c:v>89.6024566299636</c:v>
                </c:pt>
                <c:pt idx="14">
                  <c:v>89.888630852144</c:v>
                </c:pt>
                <c:pt idx="15">
                  <c:v>90.1364611632707</c:v>
                </c:pt>
                <c:pt idx="16">
                  <c:v>90.3528631877295</c:v>
                </c:pt>
                <c:pt idx="17">
                  <c:v>90.5431839634538</c:v>
                </c:pt>
                <c:pt idx="18">
                  <c:v>90.7116228060443</c:v>
                </c:pt>
                <c:pt idx="19">
                  <c:v>90.8615235686007</c:v>
                </c:pt>
                <c:pt idx="20">
                  <c:v>90.995581922981</c:v>
                </c:pt>
                <c:pt idx="21">
                  <c:v>91.1159951568968</c:v>
                </c:pt>
                <c:pt idx="22">
                  <c:v>91.2245722639014</c:v>
                </c:pt>
                <c:pt idx="23">
                  <c:v>91.3228160862094</c:v>
                </c:pt>
                <c:pt idx="24">
                  <c:v>91.4119854513964</c:v>
                </c:pt>
                <c:pt idx="25">
                  <c:v>91.4931427658674</c:v>
                </c:pt>
                <c:pt idx="26">
                  <c:v>91.5671908871874</c:v>
                </c:pt>
                <c:pt idx="27">
                  <c:v>91.6349019909286</c:v>
                </c:pt>
                <c:pt idx="28">
                  <c:v>91.6969403890032</c:v>
                </c:pt>
                <c:pt idx="29">
                  <c:v>91.7538807281686</c:v>
                </c:pt>
                <c:pt idx="30">
                  <c:v>91.8062226243114</c:v>
                </c:pt>
                <c:pt idx="31">
                  <c:v>91.8544025211705</c:v>
                </c:pt>
                <c:pt idx="32">
                  <c:v>91.8988033688344</c:v>
                </c:pt>
                <c:pt idx="33">
                  <c:v>91.9397625757506</c:v>
                </c:pt>
                <c:pt idx="34">
                  <c:v>91.977578583178</c:v>
                </c:pt>
                <c:pt idx="35">
                  <c:v>92.0125163326848</c:v>
                </c:pt>
                <c:pt idx="36">
                  <c:v>92.0448118381985</c:v>
                </c:pt>
                <c:pt idx="37">
                  <c:v>92.0746760291575</c:v>
                </c:pt>
                <c:pt idx="38">
                  <c:v>92.1022979968285</c:v>
                </c:pt>
                <c:pt idx="39">
                  <c:v>92.1278477491947</c:v>
                </c:pt>
                <c:pt idx="40">
                  <c:v>92.1514785590727</c:v>
                </c:pt>
                <c:pt idx="41">
                  <c:v>92.1733289738443</c:v>
                </c:pt>
                <c:pt idx="42">
                  <c:v>92.1935245423636</c:v>
                </c:pt>
                <c:pt idx="43">
                  <c:v>92.2121793044072</c:v>
                </c:pt>
                <c:pt idx="44">
                  <c:v>92.2293970799092</c:v>
                </c:pt>
                <c:pt idx="45">
                  <c:v>92.2452725886911</c:v>
                </c:pt>
                <c:pt idx="46">
                  <c:v>92.2598924261297</c:v>
                </c:pt>
                <c:pt idx="47">
                  <c:v>92.2733359159325</c:v>
                </c:pt>
                <c:pt idx="48">
                  <c:v>92.2856758577089</c:v>
                </c:pt>
                <c:pt idx="49">
                  <c:v>92.2969791841738</c:v>
                </c:pt>
                <c:pt idx="50">
                  <c:v>92.3073075404758</c:v>
                </c:pt>
                <c:pt idx="51">
                  <c:v>92.3167177962084</c:v>
                </c:pt>
                <c:pt idx="52">
                  <c:v>92.3252624990553</c:v>
                </c:pt>
                <c:pt idx="53">
                  <c:v>92.3329902776887</c:v>
                </c:pt>
                <c:pt idx="54">
                  <c:v>92.3399462004209</c:v>
                </c:pt>
                <c:pt idx="55">
                  <c:v>92.3461720951779</c:v>
                </c:pt>
                <c:pt idx="56">
                  <c:v>92.3517068355738</c:v>
                </c:pt>
                <c:pt idx="57">
                  <c:v>92.3565865972048</c:v>
                </c:pt>
                <c:pt idx="58">
                  <c:v>92.3608450877168</c:v>
                </c:pt>
                <c:pt idx="59">
                  <c:v>92.3645137537256</c:v>
                </c:pt>
                <c:pt idx="60">
                  <c:v>92.3676219672624</c:v>
                </c:pt>
                <c:pt idx="61">
                  <c:v>92.3701971940683</c:v>
                </c:pt>
                <c:pt idx="62">
                  <c:v>92.3722651457692</c:v>
                </c:pt>
                <c:pt idx="63">
                  <c:v>92.3738499177004</c:v>
                </c:pt>
                <c:pt idx="64">
                  <c:v>92.3749741139389</c:v>
                </c:pt>
                <c:pt idx="65">
                  <c:v>92.3756589609051</c:v>
                </c:pt>
                <c:pt idx="66">
                  <c:v>92.3759244107357</c:v>
                </c:pt>
                <c:pt idx="67">
                  <c:v>92.3757892354867</c:v>
                </c:pt>
                <c:pt idx="68">
                  <c:v>92.3752711131002</c:v>
                </c:pt>
                <c:pt idx="69">
                  <c:v>92.3743867059653</c:v>
                </c:pt>
                <c:pt idx="70">
                  <c:v>92.3731517328055</c:v>
                </c:pt>
                <c:pt idx="71">
                  <c:v>92.3715810345437</c:v>
                </c:pt>
                <c:pt idx="72">
                  <c:v>92.3696886347285</c:v>
                </c:pt>
                <c:pt idx="73">
                  <c:v>92.3674877950353</c:v>
                </c:pt>
                <c:pt idx="74">
                  <c:v>92.3649910663062</c:v>
                </c:pt>
                <c:pt idx="75">
                  <c:v>92.3622103355408</c:v>
                </c:pt>
                <c:pt idx="76">
                  <c:v>92.3591568692082</c:v>
                </c:pt>
                <c:pt idx="77">
                  <c:v>92.3558413532113</c:v>
                </c:pt>
                <c:pt idx="78">
                  <c:v>92.3522739298024</c:v>
                </c:pt>
                <c:pt idx="79">
                  <c:v>92.3484642317164</c:v>
                </c:pt>
                <c:pt idx="80">
                  <c:v>92.3444214137655</c:v>
                </c:pt>
                <c:pt idx="81">
                  <c:v>92.3401541821102</c:v>
                </c:pt>
                <c:pt idx="82">
                  <c:v>92.3356708214069</c:v>
                </c:pt>
                <c:pt idx="83">
                  <c:v>92.3309792200059</c:v>
                </c:pt>
                <c:pt idx="84">
                  <c:v>92.3260868933648</c:v>
                </c:pt>
                <c:pt idx="85">
                  <c:v>92.3210010058202</c:v>
                </c:pt>
                <c:pt idx="86">
                  <c:v>92.3157283908521</c:v>
                </c:pt>
                <c:pt idx="87">
                  <c:v>92.3102755699613</c:v>
                </c:pt>
                <c:pt idx="88">
                  <c:v>92.304648770268</c:v>
                </c:pt>
                <c:pt idx="89">
                  <c:v>92.2988539409329</c:v>
                </c:pt>
                <c:pt idx="90">
                  <c:v>92.2928967684915</c:v>
                </c:pt>
                <c:pt idx="91">
                  <c:v>92.286782691184</c:v>
                </c:pt>
                <c:pt idx="92">
                  <c:v>92.2805169123568</c:v>
                </c:pt>
                <c:pt idx="93">
                  <c:v>92.274104413006</c:v>
                </c:pt>
                <c:pt idx="94">
                  <c:v>92.2675499635247</c:v>
                </c:pt>
                <c:pt idx="95">
                  <c:v>92.2608581347144</c:v>
                </c:pt>
                <c:pt idx="96">
                  <c:v>92.2540333081115</c:v>
                </c:pt>
                <c:pt idx="97">
                  <c:v>92.2470796856803</c:v>
                </c:pt>
                <c:pt idx="98">
                  <c:v>92.2400012989154</c:v>
                </c:pt>
                <c:pt idx="99">
                  <c:v>92.2328020173967</c:v>
                </c:pt>
                <c:pt idx="100">
                  <c:v>92.2254855568342</c:v>
                </c:pt>
                <c:pt idx="101">
                  <c:v>92.2180554866376</c:v>
                </c:pt>
                <c:pt idx="102">
                  <c:v>92.2105152370433</c:v>
                </c:pt>
                <c:pt idx="103">
                  <c:v>92.2028681058295</c:v>
                </c:pt>
                <c:pt idx="104">
                  <c:v>92.1951172646453</c:v>
                </c:pt>
                <c:pt idx="105">
                  <c:v>92.1872657649811</c:v>
                </c:pt>
                <c:pt idx="106">
                  <c:v>92.1793165438027</c:v>
                </c:pt>
                <c:pt idx="107">
                  <c:v>92.171272428871</c:v>
                </c:pt>
                <c:pt idx="108">
                  <c:v>92.1631361437689</c:v>
                </c:pt>
                <c:pt idx="109">
                  <c:v>92.1549103126518</c:v>
                </c:pt>
                <c:pt idx="110">
                  <c:v>92.1465974647416</c:v>
                </c:pt>
                <c:pt idx="111">
                  <c:v>92.1382000385784</c:v>
                </c:pt>
                <c:pt idx="112">
                  <c:v>92.1297203860463</c:v>
                </c:pt>
                <c:pt idx="113">
                  <c:v>92.1211607761858</c:v>
                </c:pt>
                <c:pt idx="114">
                  <c:v>92.112523398808</c:v>
                </c:pt>
                <c:pt idx="115">
                  <c:v>92.1038103679197</c:v>
                </c:pt>
                <c:pt idx="116">
                  <c:v>92.0950237249735</c:v>
                </c:pt>
                <c:pt idx="117">
                  <c:v>92.0861654419515</c:v>
                </c:pt>
                <c:pt idx="118">
                  <c:v>92.0772374242934</c:v>
                </c:pt>
                <c:pt idx="119">
                  <c:v>92.0682415136775</c:v>
                </c:pt>
                <c:pt idx="120">
                  <c:v>92.0591794906635</c:v>
                </c:pt>
                <c:pt idx="121">
                  <c:v>92.0500530772049</c:v>
                </c:pt>
                <c:pt idx="122">
                  <c:v>92.0408639390384</c:v>
                </c:pt>
                <c:pt idx="123">
                  <c:v>92.0316136879576</c:v>
                </c:pt>
                <c:pt idx="124">
                  <c:v>92.022303883977</c:v>
                </c:pt>
                <c:pt idx="125">
                  <c:v>92.0129360373926</c:v>
                </c:pt>
                <c:pt idx="126">
                  <c:v>92.0035116107453</c:v>
                </c:pt>
                <c:pt idx="127">
                  <c:v>91.9940320206912</c:v>
                </c:pt>
                <c:pt idx="128">
                  <c:v>91.9844986397858</c:v>
                </c:pt>
                <c:pt idx="129">
                  <c:v>91.9749127981843</c:v>
                </c:pt>
                <c:pt idx="130">
                  <c:v>91.9652757852652</c:v>
                </c:pt>
                <c:pt idx="131">
                  <c:v>91.9555888511786</c:v>
                </c:pt>
                <c:pt idx="132">
                  <c:v>91.9458532083252</c:v>
                </c:pt>
                <c:pt idx="133">
                  <c:v>91.936070032769</c:v>
                </c:pt>
                <c:pt idx="134">
                  <c:v>91.9262404655863</c:v>
                </c:pt>
                <c:pt idx="135">
                  <c:v>91.9163656141561</c:v>
                </c:pt>
                <c:pt idx="136">
                  <c:v>91.9064465533927</c:v>
                </c:pt>
                <c:pt idx="137">
                  <c:v>91.8964843269253</c:v>
                </c:pt>
                <c:pt idx="138">
                  <c:v>91.8864799482267</c:v>
                </c:pt>
                <c:pt idx="139">
                  <c:v>91.8764344016924</c:v>
                </c:pt>
                <c:pt idx="140">
                  <c:v>91.8663486436752</c:v>
                </c:pt>
                <c:pt idx="141">
                  <c:v>91.8562236034747</c:v>
                </c:pt>
                <c:pt idx="142">
                  <c:v>91.8460601842859</c:v>
                </c:pt>
                <c:pt idx="143">
                  <c:v>91.8358592641077</c:v>
                </c:pt>
                <c:pt idx="144">
                  <c:v>91.8256216966144</c:v>
                </c:pt>
                <c:pt idx="145">
                  <c:v>91.8153483119903</c:v>
                </c:pt>
                <c:pt idx="146">
                  <c:v>91.805039917731</c:v>
                </c:pt>
                <c:pt idx="147">
                  <c:v>91.7946972994119</c:v>
                </c:pt>
                <c:pt idx="148">
                  <c:v>91.7843212214255</c:v>
                </c:pt>
                <c:pt idx="149">
                  <c:v>91.7739124276892</c:v>
                </c:pt>
                <c:pt idx="150">
                  <c:v>91.763471642325</c:v>
                </c:pt>
              </c:numCache>
            </c:numRef>
          </c:yVal>
          <c:smooth val="0"/>
        </c:ser>
        <c:dLbls>
          <c:showLegendKey val="0"/>
          <c:showVal val="0"/>
          <c:showCatName val="0"/>
          <c:showSerName val="0"/>
          <c:showPercent val="0"/>
          <c:showBubbleSize val="0"/>
        </c:dLbls>
        <c:axId val="178605056"/>
        <c:axId val="178615040"/>
      </c:scatterChart>
      <c:scatterChart>
        <c:scatterStyle val="smooth"/>
        <c:varyColors val="0"/>
        <c:ser>
          <c:idx val="1"/>
          <c:order val="1"/>
          <c:tx>
            <c:strRef>
              <c:f>"MOSFET"</c:f>
              <c:strCache>
                <c:ptCount val="1"/>
                <c:pt idx="0">
                  <c:v>MOSFET</c:v>
                </c:pt>
              </c:strCache>
            </c:strRef>
          </c:tx>
          <c:spPr>
            <a:ln w="28575" cap="rnd" cmpd="sng" algn="ctr">
              <a:solidFill>
                <a:schemeClr val="tx2">
                  <a:lumMod val="75000"/>
                </a:schemeClr>
              </a:solidFill>
              <a:prstDash val="dashDot"/>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Eff_vs_IOUT!$AI$7:$AI$157</c:f>
              <c:numCache>
                <c:formatCode>General</c:formatCode>
                <c:ptCount val="151"/>
                <c:pt idx="0">
                  <c:v>0</c:v>
                </c:pt>
                <c:pt idx="1">
                  <c:v>0.00405811640715088</c:v>
                </c:pt>
                <c:pt idx="2">
                  <c:v>0.00824721018374181</c:v>
                </c:pt>
                <c:pt idx="3">
                  <c:v>0.0125512249297662</c:v>
                </c:pt>
                <c:pt idx="4">
                  <c:v>0.0169667922401249</c:v>
                </c:pt>
                <c:pt idx="5">
                  <c:v>0.0214932023850893</c:v>
                </c:pt>
                <c:pt idx="6">
                  <c:v>0.0261308176719327</c:v>
                </c:pt>
                <c:pt idx="7">
                  <c:v>0.0308805322152994</c:v>
                </c:pt>
                <c:pt idx="8">
                  <c:v>0.0357435344908701</c:v>
                </c:pt>
                <c:pt idx="9">
                  <c:v>0.0407211867311833</c:v>
                </c:pt>
                <c:pt idx="10">
                  <c:v>0.0409921353524408</c:v>
                </c:pt>
                <c:pt idx="11">
                  <c:v>0.0451418170494447</c:v>
                </c:pt>
                <c:pt idx="12">
                  <c:v>0.0493103876353376</c:v>
                </c:pt>
                <c:pt idx="13">
                  <c:v>0.0534978471101193</c:v>
                </c:pt>
                <c:pt idx="14">
                  <c:v>0.05770419547379</c:v>
                </c:pt>
                <c:pt idx="15">
                  <c:v>0.0619294327263495</c:v>
                </c:pt>
                <c:pt idx="16">
                  <c:v>0.0661735588677979</c:v>
                </c:pt>
                <c:pt idx="17">
                  <c:v>0.0704365738981352</c:v>
                </c:pt>
                <c:pt idx="18">
                  <c:v>0.0747184778173614</c:v>
                </c:pt>
                <c:pt idx="19">
                  <c:v>0.0790192706254765</c:v>
                </c:pt>
                <c:pt idx="20">
                  <c:v>0.0833389523224804</c:v>
                </c:pt>
                <c:pt idx="21">
                  <c:v>0.0876775229083733</c:v>
                </c:pt>
                <c:pt idx="22">
                  <c:v>0.092034982383155</c:v>
                </c:pt>
                <c:pt idx="23">
                  <c:v>0.0964113307468257</c:v>
                </c:pt>
                <c:pt idx="24">
                  <c:v>0.100806567999385</c:v>
                </c:pt>
                <c:pt idx="25">
                  <c:v>0.105220694140834</c:v>
                </c:pt>
                <c:pt idx="26">
                  <c:v>0.109653709171171</c:v>
                </c:pt>
                <c:pt idx="27">
                  <c:v>0.114105613090397</c:v>
                </c:pt>
                <c:pt idx="28">
                  <c:v>0.118576405898512</c:v>
                </c:pt>
                <c:pt idx="29">
                  <c:v>0.123066087595516</c:v>
                </c:pt>
                <c:pt idx="30">
                  <c:v>0.127574658181409</c:v>
                </c:pt>
                <c:pt idx="31">
                  <c:v>0.132102117656191</c:v>
                </c:pt>
                <c:pt idx="32">
                  <c:v>0.136648466019861</c:v>
                </c:pt>
                <c:pt idx="33">
                  <c:v>0.141213703272421</c:v>
                </c:pt>
                <c:pt idx="34">
                  <c:v>0.145797829413869</c:v>
                </c:pt>
                <c:pt idx="35">
                  <c:v>0.150400844444207</c:v>
                </c:pt>
                <c:pt idx="36">
                  <c:v>0.155022748363433</c:v>
                </c:pt>
                <c:pt idx="37">
                  <c:v>0.159663541171548</c:v>
                </c:pt>
                <c:pt idx="38">
                  <c:v>0.164323222868552</c:v>
                </c:pt>
                <c:pt idx="39">
                  <c:v>0.169001793454445</c:v>
                </c:pt>
                <c:pt idx="40">
                  <c:v>0.173699252929226</c:v>
                </c:pt>
                <c:pt idx="41">
                  <c:v>0.178415601292897</c:v>
                </c:pt>
                <c:pt idx="42">
                  <c:v>0.183150838545457</c:v>
                </c:pt>
                <c:pt idx="43">
                  <c:v>0.187904964686905</c:v>
                </c:pt>
                <c:pt idx="44">
                  <c:v>0.192677979717242</c:v>
                </c:pt>
                <c:pt idx="45">
                  <c:v>0.197469883636468</c:v>
                </c:pt>
                <c:pt idx="46">
                  <c:v>0.202280676444584</c:v>
                </c:pt>
                <c:pt idx="47">
                  <c:v>0.207110358141588</c:v>
                </c:pt>
                <c:pt idx="48">
                  <c:v>0.21195892872748</c:v>
                </c:pt>
                <c:pt idx="49">
                  <c:v>0.216826388202262</c:v>
                </c:pt>
                <c:pt idx="50">
                  <c:v>0.221712736565933</c:v>
                </c:pt>
                <c:pt idx="51">
                  <c:v>0.226617973818492</c:v>
                </c:pt>
                <c:pt idx="52">
                  <c:v>0.231542099959941</c:v>
                </c:pt>
                <c:pt idx="53">
                  <c:v>0.236485114990278</c:v>
                </c:pt>
                <c:pt idx="54">
                  <c:v>0.241447018909504</c:v>
                </c:pt>
                <c:pt idx="55">
                  <c:v>0.246427811717619</c:v>
                </c:pt>
                <c:pt idx="56">
                  <c:v>0.251427493414623</c:v>
                </c:pt>
                <c:pt idx="57">
                  <c:v>0.256446064000516</c:v>
                </c:pt>
                <c:pt idx="58">
                  <c:v>0.261483523475298</c:v>
                </c:pt>
                <c:pt idx="59">
                  <c:v>0.266539871838968</c:v>
                </c:pt>
                <c:pt idx="60">
                  <c:v>0.271615109091528</c:v>
                </c:pt>
                <c:pt idx="61">
                  <c:v>0.276709235232976</c:v>
                </c:pt>
                <c:pt idx="62">
                  <c:v>0.281822250263314</c:v>
                </c:pt>
                <c:pt idx="63">
                  <c:v>0.28695415418254</c:v>
                </c:pt>
                <c:pt idx="64">
                  <c:v>0.292104946990655</c:v>
                </c:pt>
                <c:pt idx="65">
                  <c:v>0.297274628687659</c:v>
                </c:pt>
                <c:pt idx="66">
                  <c:v>0.302463199273552</c:v>
                </c:pt>
                <c:pt idx="67">
                  <c:v>0.307670658748334</c:v>
                </c:pt>
                <c:pt idx="68">
                  <c:v>0.312897007112004</c:v>
                </c:pt>
                <c:pt idx="69">
                  <c:v>0.318142244364564</c:v>
                </c:pt>
                <c:pt idx="70">
                  <c:v>0.323406370506012</c:v>
                </c:pt>
                <c:pt idx="71">
                  <c:v>0.328689385536349</c:v>
                </c:pt>
                <c:pt idx="72">
                  <c:v>0.333991289455576</c:v>
                </c:pt>
                <c:pt idx="73">
                  <c:v>0.339312082263691</c:v>
                </c:pt>
                <c:pt idx="74">
                  <c:v>0.344651763960695</c:v>
                </c:pt>
                <c:pt idx="75">
                  <c:v>0.350010334546587</c:v>
                </c:pt>
                <c:pt idx="76">
                  <c:v>0.355387794021369</c:v>
                </c:pt>
                <c:pt idx="77">
                  <c:v>0.36078414238504</c:v>
                </c:pt>
                <c:pt idx="78">
                  <c:v>0.366199379637599</c:v>
                </c:pt>
                <c:pt idx="79">
                  <c:v>0.371633505779048</c:v>
                </c:pt>
                <c:pt idx="80">
                  <c:v>0.377086520809385</c:v>
                </c:pt>
                <c:pt idx="81">
                  <c:v>0.382558424728611</c:v>
                </c:pt>
                <c:pt idx="82">
                  <c:v>0.388049217536726</c:v>
                </c:pt>
                <c:pt idx="83">
                  <c:v>0.39355889923373</c:v>
                </c:pt>
                <c:pt idx="84">
                  <c:v>0.399087469819623</c:v>
                </c:pt>
                <c:pt idx="85">
                  <c:v>0.404634929294405</c:v>
                </c:pt>
                <c:pt idx="86">
                  <c:v>0.410201277658075</c:v>
                </c:pt>
                <c:pt idx="87">
                  <c:v>0.415786514910635</c:v>
                </c:pt>
                <c:pt idx="88">
                  <c:v>0.421390641052083</c:v>
                </c:pt>
                <c:pt idx="89">
                  <c:v>0.427013656082421</c:v>
                </c:pt>
                <c:pt idx="90">
                  <c:v>0.432655560001647</c:v>
                </c:pt>
                <c:pt idx="91">
                  <c:v>0.438316352809762</c:v>
                </c:pt>
                <c:pt idx="92">
                  <c:v>0.443996034506766</c:v>
                </c:pt>
                <c:pt idx="93">
                  <c:v>0.449694605092659</c:v>
                </c:pt>
                <c:pt idx="94">
                  <c:v>0.455412064567441</c:v>
                </c:pt>
                <c:pt idx="95">
                  <c:v>0.461148412931111</c:v>
                </c:pt>
                <c:pt idx="96">
                  <c:v>0.466903650183671</c:v>
                </c:pt>
                <c:pt idx="97">
                  <c:v>0.472677776325119</c:v>
                </c:pt>
                <c:pt idx="98">
                  <c:v>0.478470791355456</c:v>
                </c:pt>
                <c:pt idx="99">
                  <c:v>0.484282695274683</c:v>
                </c:pt>
                <c:pt idx="100">
                  <c:v>0.490113488082798</c:v>
                </c:pt>
                <c:pt idx="101">
                  <c:v>0.495963169779802</c:v>
                </c:pt>
                <c:pt idx="102">
                  <c:v>0.501831740365695</c:v>
                </c:pt>
                <c:pt idx="103">
                  <c:v>0.507719199840476</c:v>
                </c:pt>
                <c:pt idx="104">
                  <c:v>0.513625548204147</c:v>
                </c:pt>
                <c:pt idx="105">
                  <c:v>0.519550785456707</c:v>
                </c:pt>
                <c:pt idx="106">
                  <c:v>0.525494911598155</c:v>
                </c:pt>
                <c:pt idx="107">
                  <c:v>0.531457926628492</c:v>
                </c:pt>
                <c:pt idx="108">
                  <c:v>0.537439830547718</c:v>
                </c:pt>
                <c:pt idx="109">
                  <c:v>0.543440623355833</c:v>
                </c:pt>
                <c:pt idx="110">
                  <c:v>0.549460305052837</c:v>
                </c:pt>
                <c:pt idx="111">
                  <c:v>0.55549887563873</c:v>
                </c:pt>
                <c:pt idx="112">
                  <c:v>0.561556335113512</c:v>
                </c:pt>
                <c:pt idx="113">
                  <c:v>0.567632683477183</c:v>
                </c:pt>
                <c:pt idx="114">
                  <c:v>0.573727920729742</c:v>
                </c:pt>
                <c:pt idx="115">
                  <c:v>0.57984204687119</c:v>
                </c:pt>
                <c:pt idx="116">
                  <c:v>0.585975061901528</c:v>
                </c:pt>
                <c:pt idx="117">
                  <c:v>0.592126965820754</c:v>
                </c:pt>
                <c:pt idx="118">
                  <c:v>0.598297758628869</c:v>
                </c:pt>
                <c:pt idx="119">
                  <c:v>0.604487440325873</c:v>
                </c:pt>
                <c:pt idx="120">
                  <c:v>0.610696010911766</c:v>
                </c:pt>
                <c:pt idx="121">
                  <c:v>0.616923470386548</c:v>
                </c:pt>
                <c:pt idx="122">
                  <c:v>0.623169818750218</c:v>
                </c:pt>
                <c:pt idx="123">
                  <c:v>0.629435056002778</c:v>
                </c:pt>
                <c:pt idx="124">
                  <c:v>0.635719182144226</c:v>
                </c:pt>
                <c:pt idx="125">
                  <c:v>0.642022197174564</c:v>
                </c:pt>
                <c:pt idx="126">
                  <c:v>0.64834410109379</c:v>
                </c:pt>
                <c:pt idx="127">
                  <c:v>0.654684893901905</c:v>
                </c:pt>
                <c:pt idx="128">
                  <c:v>0.661044575598909</c:v>
                </c:pt>
                <c:pt idx="129">
                  <c:v>0.667423146184802</c:v>
                </c:pt>
                <c:pt idx="130">
                  <c:v>0.673820605659583</c:v>
                </c:pt>
                <c:pt idx="131">
                  <c:v>0.680236954023254</c:v>
                </c:pt>
                <c:pt idx="132">
                  <c:v>0.686672191275814</c:v>
                </c:pt>
                <c:pt idx="133">
                  <c:v>0.693126317417262</c:v>
                </c:pt>
                <c:pt idx="134">
                  <c:v>0.699599332447599</c:v>
                </c:pt>
                <c:pt idx="135">
                  <c:v>0.706091236366825</c:v>
                </c:pt>
                <c:pt idx="136">
                  <c:v>0.71260202917494</c:v>
                </c:pt>
                <c:pt idx="137">
                  <c:v>0.719131710871944</c:v>
                </c:pt>
                <c:pt idx="138">
                  <c:v>0.725680281457837</c:v>
                </c:pt>
                <c:pt idx="139">
                  <c:v>0.732247740932619</c:v>
                </c:pt>
                <c:pt idx="140">
                  <c:v>0.73883408929629</c:v>
                </c:pt>
                <c:pt idx="141">
                  <c:v>0.745439326548849</c:v>
                </c:pt>
                <c:pt idx="142">
                  <c:v>0.752063452690298</c:v>
                </c:pt>
                <c:pt idx="143">
                  <c:v>0.758706467720635</c:v>
                </c:pt>
                <c:pt idx="144">
                  <c:v>0.765368371639861</c:v>
                </c:pt>
                <c:pt idx="145">
                  <c:v>0.772049164447976</c:v>
                </c:pt>
                <c:pt idx="146">
                  <c:v>0.77874884614498</c:v>
                </c:pt>
                <c:pt idx="147">
                  <c:v>0.785467416730873</c:v>
                </c:pt>
                <c:pt idx="148">
                  <c:v>0.792204876205655</c:v>
                </c:pt>
                <c:pt idx="149">
                  <c:v>0.798961224569325</c:v>
                </c:pt>
                <c:pt idx="150">
                  <c:v>0.805736461821885</c:v>
                </c:pt>
              </c:numCache>
            </c:numRef>
          </c:yVal>
          <c:smooth val="1"/>
        </c:ser>
        <c:ser>
          <c:idx val="2"/>
          <c:order val="2"/>
          <c:tx>
            <c:strRef>
              <c:f>"Diode"</c:f>
              <c:strCache>
                <c:ptCount val="1"/>
                <c:pt idx="0">
                  <c:v>Diode</c:v>
                </c:pt>
              </c:strCache>
            </c:strRef>
          </c:tx>
          <c:spPr>
            <a:ln w="28575" cap="rnd" cmpd="sng" algn="ctr">
              <a:solidFill>
                <a:schemeClr val="bg2">
                  <a:lumMod val="50000"/>
                </a:schemeClr>
              </a:solidFill>
              <a:prstDash val="sysDash"/>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Eff_vs_IOUT!$AN$7:$AN$157</c:f>
              <c:numCache>
                <c:formatCode>General</c:formatCode>
                <c:ptCount val="151"/>
                <c:pt idx="0">
                  <c:v>0</c:v>
                </c:pt>
                <c:pt idx="1">
                  <c:v>0.00433333333333333</c:v>
                </c:pt>
                <c:pt idx="2">
                  <c:v>0.00866666666666667</c:v>
                </c:pt>
                <c:pt idx="3">
                  <c:v>0.013</c:v>
                </c:pt>
                <c:pt idx="4">
                  <c:v>0.0173333333333333</c:v>
                </c:pt>
                <c:pt idx="5">
                  <c:v>0.0216666666666667</c:v>
                </c:pt>
                <c:pt idx="6">
                  <c:v>0.026</c:v>
                </c:pt>
                <c:pt idx="7">
                  <c:v>0.0303333333333333</c:v>
                </c:pt>
                <c:pt idx="8">
                  <c:v>0.0346666666666667</c:v>
                </c:pt>
                <c:pt idx="9">
                  <c:v>0.039</c:v>
                </c:pt>
                <c:pt idx="10">
                  <c:v>0.0433333333333333</c:v>
                </c:pt>
                <c:pt idx="11">
                  <c:v>0.0476666666666667</c:v>
                </c:pt>
                <c:pt idx="12">
                  <c:v>0.052</c:v>
                </c:pt>
                <c:pt idx="13">
                  <c:v>0.0563333333333333</c:v>
                </c:pt>
                <c:pt idx="14">
                  <c:v>0.0606666666666667</c:v>
                </c:pt>
                <c:pt idx="15">
                  <c:v>0.065</c:v>
                </c:pt>
                <c:pt idx="16">
                  <c:v>0.0693333333333333</c:v>
                </c:pt>
                <c:pt idx="17">
                  <c:v>0.0736666666666667</c:v>
                </c:pt>
                <c:pt idx="18">
                  <c:v>0.078</c:v>
                </c:pt>
                <c:pt idx="19">
                  <c:v>0.0823333333333333</c:v>
                </c:pt>
                <c:pt idx="20">
                  <c:v>0.0866666666666667</c:v>
                </c:pt>
                <c:pt idx="21">
                  <c:v>0.091</c:v>
                </c:pt>
                <c:pt idx="22">
                  <c:v>0.0953333333333333</c:v>
                </c:pt>
                <c:pt idx="23">
                  <c:v>0.0996666666666667</c:v>
                </c:pt>
                <c:pt idx="24">
                  <c:v>0.104</c:v>
                </c:pt>
                <c:pt idx="25">
                  <c:v>0.108333333333333</c:v>
                </c:pt>
                <c:pt idx="26">
                  <c:v>0.112666666666667</c:v>
                </c:pt>
                <c:pt idx="27">
                  <c:v>0.117</c:v>
                </c:pt>
                <c:pt idx="28">
                  <c:v>0.121333333333333</c:v>
                </c:pt>
                <c:pt idx="29">
                  <c:v>0.125666666666667</c:v>
                </c:pt>
                <c:pt idx="30">
                  <c:v>0.13</c:v>
                </c:pt>
                <c:pt idx="31">
                  <c:v>0.134333333333333</c:v>
                </c:pt>
                <c:pt idx="32">
                  <c:v>0.138666666666667</c:v>
                </c:pt>
                <c:pt idx="33">
                  <c:v>0.143</c:v>
                </c:pt>
                <c:pt idx="34">
                  <c:v>0.147333333333333</c:v>
                </c:pt>
                <c:pt idx="35">
                  <c:v>0.151666666666667</c:v>
                </c:pt>
                <c:pt idx="36">
                  <c:v>0.156</c:v>
                </c:pt>
                <c:pt idx="37">
                  <c:v>0.160333333333333</c:v>
                </c:pt>
                <c:pt idx="38">
                  <c:v>0.164666666666667</c:v>
                </c:pt>
                <c:pt idx="39">
                  <c:v>0.169</c:v>
                </c:pt>
                <c:pt idx="40">
                  <c:v>0.173333333333333</c:v>
                </c:pt>
                <c:pt idx="41">
                  <c:v>0.177666666666667</c:v>
                </c:pt>
                <c:pt idx="42">
                  <c:v>0.182</c:v>
                </c:pt>
                <c:pt idx="43">
                  <c:v>0.186333333333333</c:v>
                </c:pt>
                <c:pt idx="44">
                  <c:v>0.190666666666667</c:v>
                </c:pt>
                <c:pt idx="45">
                  <c:v>0.195</c:v>
                </c:pt>
                <c:pt idx="46">
                  <c:v>0.199333333333333</c:v>
                </c:pt>
                <c:pt idx="47">
                  <c:v>0.203666666666667</c:v>
                </c:pt>
                <c:pt idx="48">
                  <c:v>0.208</c:v>
                </c:pt>
                <c:pt idx="49">
                  <c:v>0.212333333333333</c:v>
                </c:pt>
                <c:pt idx="50">
                  <c:v>0.216666666666667</c:v>
                </c:pt>
                <c:pt idx="51">
                  <c:v>0.221</c:v>
                </c:pt>
                <c:pt idx="52">
                  <c:v>0.225333333333333</c:v>
                </c:pt>
                <c:pt idx="53">
                  <c:v>0.229666666666667</c:v>
                </c:pt>
                <c:pt idx="54">
                  <c:v>0.234</c:v>
                </c:pt>
                <c:pt idx="55">
                  <c:v>0.238333333333333</c:v>
                </c:pt>
                <c:pt idx="56">
                  <c:v>0.242666666666667</c:v>
                </c:pt>
                <c:pt idx="57">
                  <c:v>0.247</c:v>
                </c:pt>
                <c:pt idx="58">
                  <c:v>0.251333333333333</c:v>
                </c:pt>
                <c:pt idx="59">
                  <c:v>0.255666666666667</c:v>
                </c:pt>
                <c:pt idx="60">
                  <c:v>0.26</c:v>
                </c:pt>
                <c:pt idx="61">
                  <c:v>0.264333333333333</c:v>
                </c:pt>
                <c:pt idx="62">
                  <c:v>0.268666666666667</c:v>
                </c:pt>
                <c:pt idx="63">
                  <c:v>0.273</c:v>
                </c:pt>
                <c:pt idx="64">
                  <c:v>0.277333333333333</c:v>
                </c:pt>
                <c:pt idx="65">
                  <c:v>0.281666666666667</c:v>
                </c:pt>
                <c:pt idx="66">
                  <c:v>0.286</c:v>
                </c:pt>
                <c:pt idx="67">
                  <c:v>0.290333333333333</c:v>
                </c:pt>
                <c:pt idx="68">
                  <c:v>0.294666666666667</c:v>
                </c:pt>
                <c:pt idx="69">
                  <c:v>0.299</c:v>
                </c:pt>
                <c:pt idx="70">
                  <c:v>0.303333333333333</c:v>
                </c:pt>
                <c:pt idx="71">
                  <c:v>0.307666666666667</c:v>
                </c:pt>
                <c:pt idx="72">
                  <c:v>0.312</c:v>
                </c:pt>
                <c:pt idx="73">
                  <c:v>0.316333333333333</c:v>
                </c:pt>
                <c:pt idx="74">
                  <c:v>0.320666666666667</c:v>
                </c:pt>
                <c:pt idx="75">
                  <c:v>0.325</c:v>
                </c:pt>
                <c:pt idx="76">
                  <c:v>0.329333333333333</c:v>
                </c:pt>
                <c:pt idx="77">
                  <c:v>0.333666666666667</c:v>
                </c:pt>
                <c:pt idx="78">
                  <c:v>0.338</c:v>
                </c:pt>
                <c:pt idx="79">
                  <c:v>0.342333333333333</c:v>
                </c:pt>
                <c:pt idx="80">
                  <c:v>0.346666666666667</c:v>
                </c:pt>
                <c:pt idx="81">
                  <c:v>0.351</c:v>
                </c:pt>
                <c:pt idx="82">
                  <c:v>0.355333333333333</c:v>
                </c:pt>
                <c:pt idx="83">
                  <c:v>0.359666666666667</c:v>
                </c:pt>
                <c:pt idx="84">
                  <c:v>0.364</c:v>
                </c:pt>
                <c:pt idx="85">
                  <c:v>0.368333333333333</c:v>
                </c:pt>
                <c:pt idx="86">
                  <c:v>0.372666666666667</c:v>
                </c:pt>
                <c:pt idx="87">
                  <c:v>0.377</c:v>
                </c:pt>
                <c:pt idx="88">
                  <c:v>0.381333333333333</c:v>
                </c:pt>
                <c:pt idx="89">
                  <c:v>0.385666666666667</c:v>
                </c:pt>
                <c:pt idx="90">
                  <c:v>0.39</c:v>
                </c:pt>
                <c:pt idx="91">
                  <c:v>0.394333333333333</c:v>
                </c:pt>
                <c:pt idx="92">
                  <c:v>0.398666666666667</c:v>
                </c:pt>
                <c:pt idx="93">
                  <c:v>0.403</c:v>
                </c:pt>
                <c:pt idx="94">
                  <c:v>0.407333333333333</c:v>
                </c:pt>
                <c:pt idx="95">
                  <c:v>0.411666666666667</c:v>
                </c:pt>
                <c:pt idx="96">
                  <c:v>0.416</c:v>
                </c:pt>
                <c:pt idx="97">
                  <c:v>0.420333333333333</c:v>
                </c:pt>
                <c:pt idx="98">
                  <c:v>0.424666666666667</c:v>
                </c:pt>
                <c:pt idx="99">
                  <c:v>0.429</c:v>
                </c:pt>
                <c:pt idx="100">
                  <c:v>0.433333333333333</c:v>
                </c:pt>
                <c:pt idx="101">
                  <c:v>0.437666666666667</c:v>
                </c:pt>
                <c:pt idx="102">
                  <c:v>0.442</c:v>
                </c:pt>
                <c:pt idx="103">
                  <c:v>0.446333333333333</c:v>
                </c:pt>
                <c:pt idx="104">
                  <c:v>0.450666666666667</c:v>
                </c:pt>
                <c:pt idx="105">
                  <c:v>0.455</c:v>
                </c:pt>
                <c:pt idx="106">
                  <c:v>0.459333333333333</c:v>
                </c:pt>
                <c:pt idx="107">
                  <c:v>0.463666666666667</c:v>
                </c:pt>
                <c:pt idx="108">
                  <c:v>0.468</c:v>
                </c:pt>
                <c:pt idx="109">
                  <c:v>0.472333333333333</c:v>
                </c:pt>
                <c:pt idx="110">
                  <c:v>0.476666666666667</c:v>
                </c:pt>
                <c:pt idx="111">
                  <c:v>0.481</c:v>
                </c:pt>
                <c:pt idx="112">
                  <c:v>0.485333333333333</c:v>
                </c:pt>
                <c:pt idx="113">
                  <c:v>0.489666666666667</c:v>
                </c:pt>
                <c:pt idx="114">
                  <c:v>0.494</c:v>
                </c:pt>
                <c:pt idx="115">
                  <c:v>0.498333333333333</c:v>
                </c:pt>
                <c:pt idx="116">
                  <c:v>0.502666666666667</c:v>
                </c:pt>
                <c:pt idx="117">
                  <c:v>0.507</c:v>
                </c:pt>
                <c:pt idx="118">
                  <c:v>0.511333333333333</c:v>
                </c:pt>
                <c:pt idx="119">
                  <c:v>0.515666666666667</c:v>
                </c:pt>
                <c:pt idx="120">
                  <c:v>0.52</c:v>
                </c:pt>
                <c:pt idx="121">
                  <c:v>0.524333333333333</c:v>
                </c:pt>
                <c:pt idx="122">
                  <c:v>0.528666666666667</c:v>
                </c:pt>
                <c:pt idx="123">
                  <c:v>0.533</c:v>
                </c:pt>
                <c:pt idx="124">
                  <c:v>0.537333333333333</c:v>
                </c:pt>
                <c:pt idx="125">
                  <c:v>0.541666666666667</c:v>
                </c:pt>
                <c:pt idx="126">
                  <c:v>0.546</c:v>
                </c:pt>
                <c:pt idx="127">
                  <c:v>0.550333333333333</c:v>
                </c:pt>
                <c:pt idx="128">
                  <c:v>0.554666666666667</c:v>
                </c:pt>
                <c:pt idx="129">
                  <c:v>0.559</c:v>
                </c:pt>
                <c:pt idx="130">
                  <c:v>0.563333333333333</c:v>
                </c:pt>
                <c:pt idx="131">
                  <c:v>0.567666666666667</c:v>
                </c:pt>
                <c:pt idx="132">
                  <c:v>0.572</c:v>
                </c:pt>
                <c:pt idx="133">
                  <c:v>0.576333333333333</c:v>
                </c:pt>
                <c:pt idx="134">
                  <c:v>0.580666666666667</c:v>
                </c:pt>
                <c:pt idx="135">
                  <c:v>0.585</c:v>
                </c:pt>
                <c:pt idx="136">
                  <c:v>0.589333333333333</c:v>
                </c:pt>
                <c:pt idx="137">
                  <c:v>0.593666666666667</c:v>
                </c:pt>
                <c:pt idx="138">
                  <c:v>0.598</c:v>
                </c:pt>
                <c:pt idx="139">
                  <c:v>0.602333333333333</c:v>
                </c:pt>
                <c:pt idx="140">
                  <c:v>0.606666666666667</c:v>
                </c:pt>
                <c:pt idx="141">
                  <c:v>0.611</c:v>
                </c:pt>
                <c:pt idx="142">
                  <c:v>0.615333333333333</c:v>
                </c:pt>
                <c:pt idx="143">
                  <c:v>0.619666666666667</c:v>
                </c:pt>
                <c:pt idx="144">
                  <c:v>0.624</c:v>
                </c:pt>
                <c:pt idx="145">
                  <c:v>0.628333333333333</c:v>
                </c:pt>
                <c:pt idx="146">
                  <c:v>0.632666666666667</c:v>
                </c:pt>
                <c:pt idx="147">
                  <c:v>0.637</c:v>
                </c:pt>
                <c:pt idx="148">
                  <c:v>0.641333333333333</c:v>
                </c:pt>
                <c:pt idx="149">
                  <c:v>0.645666666666667</c:v>
                </c:pt>
                <c:pt idx="150">
                  <c:v>0.65</c:v>
                </c:pt>
              </c:numCache>
            </c:numRef>
          </c:yVal>
          <c:smooth val="1"/>
        </c:ser>
        <c:ser>
          <c:idx val="3"/>
          <c:order val="3"/>
          <c:tx>
            <c:strRef>
              <c:f>"RCS"</c:f>
              <c:strCache>
                <c:ptCount val="1"/>
                <c:pt idx="0">
                  <c:v>RCS</c:v>
                </c:pt>
              </c:strCache>
            </c:strRef>
          </c:tx>
          <c:spPr>
            <a:ln w="28575" cap="rnd" cmpd="sng" algn="ctr">
              <a:solidFill>
                <a:schemeClr val="accent5">
                  <a:lumMod val="75000"/>
                </a:schemeClr>
              </a:solidFill>
              <a:prstDash val="lgDashDotDot"/>
              <a:round/>
            </a:ln>
          </c:spPr>
          <c:marker>
            <c:symbol val="none"/>
          </c:marker>
          <c:dLbls>
            <c:delete val="1"/>
          </c:dLbls>
          <c:xVal>
            <c:numRef>
              <c:f>Eff_vs_IOUT!$S$7:$S$157</c:f>
              <c:numCache>
                <c:formatCode>General</c:formatCode>
                <c:ptCount val="151"/>
                <c:pt idx="0">
                  <c:v>0</c:v>
                </c:pt>
                <c:pt idx="1">
                  <c:v>0.0133333333333333</c:v>
                </c:pt>
                <c:pt idx="2">
                  <c:v>0.0266666666666667</c:v>
                </c:pt>
                <c:pt idx="3">
                  <c:v>0.04</c:v>
                </c:pt>
                <c:pt idx="4">
                  <c:v>0.0533333333333333</c:v>
                </c:pt>
                <c:pt idx="5">
                  <c:v>0.0666666666666667</c:v>
                </c:pt>
                <c:pt idx="6">
                  <c:v>0.08</c:v>
                </c:pt>
                <c:pt idx="7">
                  <c:v>0.0933333333333333</c:v>
                </c:pt>
                <c:pt idx="8">
                  <c:v>0.106666666666667</c:v>
                </c:pt>
                <c:pt idx="9">
                  <c:v>0.12</c:v>
                </c:pt>
                <c:pt idx="10">
                  <c:v>0.133333333333333</c:v>
                </c:pt>
                <c:pt idx="11">
                  <c:v>0.146666666666667</c:v>
                </c:pt>
                <c:pt idx="12">
                  <c:v>0.16</c:v>
                </c:pt>
                <c:pt idx="13">
                  <c:v>0.173333333333333</c:v>
                </c:pt>
                <c:pt idx="14">
                  <c:v>0.186666666666667</c:v>
                </c:pt>
                <c:pt idx="15">
                  <c:v>0.2</c:v>
                </c:pt>
                <c:pt idx="16">
                  <c:v>0.213333333333333</c:v>
                </c:pt>
                <c:pt idx="17">
                  <c:v>0.226666666666667</c:v>
                </c:pt>
                <c:pt idx="18">
                  <c:v>0.24</c:v>
                </c:pt>
                <c:pt idx="19">
                  <c:v>0.253333333333333</c:v>
                </c:pt>
                <c:pt idx="20">
                  <c:v>0.266666666666667</c:v>
                </c:pt>
                <c:pt idx="21">
                  <c:v>0.28</c:v>
                </c:pt>
                <c:pt idx="22">
                  <c:v>0.293333333333333</c:v>
                </c:pt>
                <c:pt idx="23">
                  <c:v>0.306666666666667</c:v>
                </c:pt>
                <c:pt idx="24">
                  <c:v>0.32</c:v>
                </c:pt>
                <c:pt idx="25">
                  <c:v>0.333333333333333</c:v>
                </c:pt>
                <c:pt idx="26">
                  <c:v>0.346666666666667</c:v>
                </c:pt>
                <c:pt idx="27">
                  <c:v>0.36</c:v>
                </c:pt>
                <c:pt idx="28">
                  <c:v>0.373333333333333</c:v>
                </c:pt>
                <c:pt idx="29">
                  <c:v>0.386666666666667</c:v>
                </c:pt>
                <c:pt idx="30">
                  <c:v>0.4</c:v>
                </c:pt>
                <c:pt idx="31">
                  <c:v>0.413333333333333</c:v>
                </c:pt>
                <c:pt idx="32">
                  <c:v>0.426666666666667</c:v>
                </c:pt>
                <c:pt idx="33">
                  <c:v>0.44</c:v>
                </c:pt>
                <c:pt idx="34">
                  <c:v>0.453333333333333</c:v>
                </c:pt>
                <c:pt idx="35">
                  <c:v>0.466666666666667</c:v>
                </c:pt>
                <c:pt idx="36">
                  <c:v>0.48</c:v>
                </c:pt>
                <c:pt idx="37">
                  <c:v>0.493333333333333</c:v>
                </c:pt>
                <c:pt idx="38">
                  <c:v>0.506666666666667</c:v>
                </c:pt>
                <c:pt idx="39">
                  <c:v>0.52</c:v>
                </c:pt>
                <c:pt idx="40">
                  <c:v>0.533333333333333</c:v>
                </c:pt>
                <c:pt idx="41">
                  <c:v>0.546666666666667</c:v>
                </c:pt>
                <c:pt idx="42">
                  <c:v>0.56</c:v>
                </c:pt>
                <c:pt idx="43">
                  <c:v>0.573333333333333</c:v>
                </c:pt>
                <c:pt idx="44">
                  <c:v>0.586666666666667</c:v>
                </c:pt>
                <c:pt idx="45">
                  <c:v>0.6</c:v>
                </c:pt>
                <c:pt idx="46">
                  <c:v>0.613333333333333</c:v>
                </c:pt>
                <c:pt idx="47">
                  <c:v>0.626666666666667</c:v>
                </c:pt>
                <c:pt idx="48">
                  <c:v>0.64</c:v>
                </c:pt>
                <c:pt idx="49">
                  <c:v>0.653333333333333</c:v>
                </c:pt>
                <c:pt idx="50">
                  <c:v>0.666666666666667</c:v>
                </c:pt>
                <c:pt idx="51">
                  <c:v>0.68</c:v>
                </c:pt>
                <c:pt idx="52">
                  <c:v>0.693333333333333</c:v>
                </c:pt>
                <c:pt idx="53">
                  <c:v>0.706666666666667</c:v>
                </c:pt>
                <c:pt idx="54">
                  <c:v>0.72</c:v>
                </c:pt>
                <c:pt idx="55">
                  <c:v>0.733333333333333</c:v>
                </c:pt>
                <c:pt idx="56">
                  <c:v>0.746666666666667</c:v>
                </c:pt>
                <c:pt idx="57">
                  <c:v>0.76</c:v>
                </c:pt>
                <c:pt idx="58">
                  <c:v>0.773333333333333</c:v>
                </c:pt>
                <c:pt idx="59">
                  <c:v>0.786666666666667</c:v>
                </c:pt>
                <c:pt idx="60">
                  <c:v>0.8</c:v>
                </c:pt>
                <c:pt idx="61">
                  <c:v>0.813333333333333</c:v>
                </c:pt>
                <c:pt idx="62">
                  <c:v>0.826666666666667</c:v>
                </c:pt>
                <c:pt idx="63">
                  <c:v>0.84</c:v>
                </c:pt>
                <c:pt idx="64">
                  <c:v>0.853333333333333</c:v>
                </c:pt>
                <c:pt idx="65">
                  <c:v>0.866666666666667</c:v>
                </c:pt>
                <c:pt idx="66">
                  <c:v>0.88</c:v>
                </c:pt>
                <c:pt idx="67">
                  <c:v>0.893333333333333</c:v>
                </c:pt>
                <c:pt idx="68">
                  <c:v>0.906666666666667</c:v>
                </c:pt>
                <c:pt idx="69">
                  <c:v>0.92</c:v>
                </c:pt>
                <c:pt idx="70">
                  <c:v>0.933333333333333</c:v>
                </c:pt>
                <c:pt idx="71">
                  <c:v>0.946666666666667</c:v>
                </c:pt>
                <c:pt idx="72">
                  <c:v>0.96</c:v>
                </c:pt>
                <c:pt idx="73">
                  <c:v>0.973333333333333</c:v>
                </c:pt>
                <c:pt idx="74">
                  <c:v>0.986666666666667</c:v>
                </c:pt>
                <c:pt idx="75">
                  <c:v>1</c:v>
                </c:pt>
                <c:pt idx="76">
                  <c:v>1.01333333333333</c:v>
                </c:pt>
                <c:pt idx="77">
                  <c:v>1.02666666666667</c:v>
                </c:pt>
                <c:pt idx="78">
                  <c:v>1.04</c:v>
                </c:pt>
                <c:pt idx="79">
                  <c:v>1.05333333333333</c:v>
                </c:pt>
                <c:pt idx="80">
                  <c:v>1.06666666666667</c:v>
                </c:pt>
                <c:pt idx="81">
                  <c:v>1.08</c:v>
                </c:pt>
                <c:pt idx="82">
                  <c:v>1.09333333333333</c:v>
                </c:pt>
                <c:pt idx="83">
                  <c:v>1.10666666666667</c:v>
                </c:pt>
                <c:pt idx="84">
                  <c:v>1.12</c:v>
                </c:pt>
                <c:pt idx="85">
                  <c:v>1.13333333333333</c:v>
                </c:pt>
                <c:pt idx="86">
                  <c:v>1.14666666666667</c:v>
                </c:pt>
                <c:pt idx="87">
                  <c:v>1.16</c:v>
                </c:pt>
                <c:pt idx="88">
                  <c:v>1.17333333333333</c:v>
                </c:pt>
                <c:pt idx="89">
                  <c:v>1.18666666666667</c:v>
                </c:pt>
                <c:pt idx="90">
                  <c:v>1.2</c:v>
                </c:pt>
                <c:pt idx="91">
                  <c:v>1.21333333333333</c:v>
                </c:pt>
                <c:pt idx="92">
                  <c:v>1.22666666666667</c:v>
                </c:pt>
                <c:pt idx="93">
                  <c:v>1.24</c:v>
                </c:pt>
                <c:pt idx="94">
                  <c:v>1.25333333333333</c:v>
                </c:pt>
                <c:pt idx="95">
                  <c:v>1.26666666666667</c:v>
                </c:pt>
                <c:pt idx="96">
                  <c:v>1.28</c:v>
                </c:pt>
                <c:pt idx="97">
                  <c:v>1.29333333333333</c:v>
                </c:pt>
                <c:pt idx="98">
                  <c:v>1.30666666666667</c:v>
                </c:pt>
                <c:pt idx="99">
                  <c:v>1.32</c:v>
                </c:pt>
                <c:pt idx="100">
                  <c:v>1.33333333333333</c:v>
                </c:pt>
                <c:pt idx="101">
                  <c:v>1.34666666666667</c:v>
                </c:pt>
                <c:pt idx="102">
                  <c:v>1.36</c:v>
                </c:pt>
                <c:pt idx="103">
                  <c:v>1.37333333333333</c:v>
                </c:pt>
                <c:pt idx="104">
                  <c:v>1.38666666666667</c:v>
                </c:pt>
                <c:pt idx="105">
                  <c:v>1.4</c:v>
                </c:pt>
                <c:pt idx="106">
                  <c:v>1.41333333333333</c:v>
                </c:pt>
                <c:pt idx="107">
                  <c:v>1.42666666666667</c:v>
                </c:pt>
                <c:pt idx="108">
                  <c:v>1.44</c:v>
                </c:pt>
                <c:pt idx="109">
                  <c:v>1.45333333333333</c:v>
                </c:pt>
                <c:pt idx="110">
                  <c:v>1.46666666666667</c:v>
                </c:pt>
                <c:pt idx="111">
                  <c:v>1.48</c:v>
                </c:pt>
                <c:pt idx="112">
                  <c:v>1.49333333333333</c:v>
                </c:pt>
                <c:pt idx="113">
                  <c:v>1.50666666666667</c:v>
                </c:pt>
                <c:pt idx="114">
                  <c:v>1.52</c:v>
                </c:pt>
                <c:pt idx="115">
                  <c:v>1.53333333333333</c:v>
                </c:pt>
                <c:pt idx="116">
                  <c:v>1.54666666666667</c:v>
                </c:pt>
                <c:pt idx="117">
                  <c:v>1.56</c:v>
                </c:pt>
                <c:pt idx="118">
                  <c:v>1.57333333333333</c:v>
                </c:pt>
                <c:pt idx="119">
                  <c:v>1.58666666666667</c:v>
                </c:pt>
                <c:pt idx="120">
                  <c:v>1.6</c:v>
                </c:pt>
                <c:pt idx="121">
                  <c:v>1.61333333333333</c:v>
                </c:pt>
                <c:pt idx="122">
                  <c:v>1.62666666666667</c:v>
                </c:pt>
                <c:pt idx="123">
                  <c:v>1.64</c:v>
                </c:pt>
                <c:pt idx="124">
                  <c:v>1.65333333333333</c:v>
                </c:pt>
                <c:pt idx="125">
                  <c:v>1.66666666666667</c:v>
                </c:pt>
                <c:pt idx="126">
                  <c:v>1.68</c:v>
                </c:pt>
                <c:pt idx="127">
                  <c:v>1.69333333333333</c:v>
                </c:pt>
                <c:pt idx="128">
                  <c:v>1.70666666666667</c:v>
                </c:pt>
                <c:pt idx="129">
                  <c:v>1.72</c:v>
                </c:pt>
                <c:pt idx="130">
                  <c:v>1.73333333333333</c:v>
                </c:pt>
                <c:pt idx="131">
                  <c:v>1.74666666666667</c:v>
                </c:pt>
                <c:pt idx="132">
                  <c:v>1.76</c:v>
                </c:pt>
                <c:pt idx="133">
                  <c:v>1.77333333333333</c:v>
                </c:pt>
                <c:pt idx="134">
                  <c:v>1.78666666666667</c:v>
                </c:pt>
                <c:pt idx="135">
                  <c:v>1.8</c:v>
                </c:pt>
                <c:pt idx="136">
                  <c:v>1.81333333333333</c:v>
                </c:pt>
                <c:pt idx="137">
                  <c:v>1.82666666666667</c:v>
                </c:pt>
                <c:pt idx="138">
                  <c:v>1.84</c:v>
                </c:pt>
                <c:pt idx="139">
                  <c:v>1.85333333333333</c:v>
                </c:pt>
                <c:pt idx="140">
                  <c:v>1.86666666666667</c:v>
                </c:pt>
                <c:pt idx="141">
                  <c:v>1.88</c:v>
                </c:pt>
                <c:pt idx="142">
                  <c:v>1.89333333333333</c:v>
                </c:pt>
                <c:pt idx="143">
                  <c:v>1.90666666666667</c:v>
                </c:pt>
                <c:pt idx="144">
                  <c:v>1.92</c:v>
                </c:pt>
                <c:pt idx="145">
                  <c:v>1.93333333333333</c:v>
                </c:pt>
                <c:pt idx="146">
                  <c:v>1.94666666666667</c:v>
                </c:pt>
                <c:pt idx="147">
                  <c:v>1.96</c:v>
                </c:pt>
                <c:pt idx="148">
                  <c:v>1.97333333333333</c:v>
                </c:pt>
                <c:pt idx="149">
                  <c:v>1.98666666666667</c:v>
                </c:pt>
                <c:pt idx="150">
                  <c:v>2</c:v>
                </c:pt>
              </c:numCache>
            </c:numRef>
          </c:xVal>
          <c:yVal>
            <c:numRef>
              <c:f>Eff_vs_IOUT!$AO$7:$AO$157</c:f>
              <c:numCache>
                <c:formatCode>General</c:formatCode>
                <c:ptCount val="151"/>
                <c:pt idx="0">
                  <c:v>0</c:v>
                </c:pt>
                <c:pt idx="1">
                  <c:v>0.000125609462917944</c:v>
                </c:pt>
                <c:pt idx="2">
                  <c:v>0.000405309948706521</c:v>
                </c:pt>
                <c:pt idx="3">
                  <c:v>0.000820211575005024</c:v>
                </c:pt>
                <c:pt idx="4">
                  <c:v>0.00136635151228512</c:v>
                </c:pt>
                <c:pt idx="5">
                  <c:v>0.0020428947843955</c:v>
                </c:pt>
                <c:pt idx="6">
                  <c:v>0.00285026763518693</c:v>
                </c:pt>
                <c:pt idx="7">
                  <c:v>0.00378952196424117</c:v>
                </c:pt>
                <c:pt idx="8">
                  <c:v>0.00486205597824123</c:v>
                </c:pt>
                <c:pt idx="9">
                  <c:v>0.00606947230370305</c:v>
                </c:pt>
                <c:pt idx="10">
                  <c:v>0.00173959025380523</c:v>
                </c:pt>
                <c:pt idx="11">
                  <c:v>0.00197292358713856</c:v>
                </c:pt>
                <c:pt idx="12">
                  <c:v>0.00222847914269412</c:v>
                </c:pt>
                <c:pt idx="13">
                  <c:v>0.00250625692047189</c:v>
                </c:pt>
                <c:pt idx="14">
                  <c:v>0.00280625692047189</c:v>
                </c:pt>
                <c:pt idx="15">
                  <c:v>0.00312847914269412</c:v>
                </c:pt>
                <c:pt idx="16">
                  <c:v>0.00347292358713856</c:v>
                </c:pt>
                <c:pt idx="17">
                  <c:v>0.00383959025380523</c:v>
                </c:pt>
                <c:pt idx="18">
                  <c:v>0.00422847914269412</c:v>
                </c:pt>
                <c:pt idx="19">
                  <c:v>0.00463959025380523</c:v>
                </c:pt>
                <c:pt idx="20">
                  <c:v>0.00507292358713856</c:v>
                </c:pt>
                <c:pt idx="21">
                  <c:v>0.00552847914269412</c:v>
                </c:pt>
                <c:pt idx="22">
                  <c:v>0.0060062569204719</c:v>
                </c:pt>
                <c:pt idx="23">
                  <c:v>0.00650625692047189</c:v>
                </c:pt>
                <c:pt idx="24">
                  <c:v>0.00702847914269412</c:v>
                </c:pt>
                <c:pt idx="25">
                  <c:v>0.00757292358713856</c:v>
                </c:pt>
                <c:pt idx="26">
                  <c:v>0.00813959025380523</c:v>
                </c:pt>
                <c:pt idx="27">
                  <c:v>0.00872847914269412</c:v>
                </c:pt>
                <c:pt idx="28">
                  <c:v>0.00933959025380523</c:v>
                </c:pt>
                <c:pt idx="29">
                  <c:v>0.00997292358713856</c:v>
                </c:pt>
                <c:pt idx="30">
                  <c:v>0.0106284791426941</c:v>
                </c:pt>
                <c:pt idx="31">
                  <c:v>0.0113062569204719</c:v>
                </c:pt>
                <c:pt idx="32">
                  <c:v>0.0120062569204719</c:v>
                </c:pt>
                <c:pt idx="33">
                  <c:v>0.0127284791426941</c:v>
                </c:pt>
                <c:pt idx="34">
                  <c:v>0.0134729235871386</c:v>
                </c:pt>
                <c:pt idx="35">
                  <c:v>0.0142395902538052</c:v>
                </c:pt>
                <c:pt idx="36">
                  <c:v>0.0150284791426941</c:v>
                </c:pt>
                <c:pt idx="37">
                  <c:v>0.0158395902538052</c:v>
                </c:pt>
                <c:pt idx="38">
                  <c:v>0.0166729235871386</c:v>
                </c:pt>
                <c:pt idx="39">
                  <c:v>0.0175284791426941</c:v>
                </c:pt>
                <c:pt idx="40">
                  <c:v>0.0184062569204719</c:v>
                </c:pt>
                <c:pt idx="41">
                  <c:v>0.0193062569204719</c:v>
                </c:pt>
                <c:pt idx="42">
                  <c:v>0.0202284791426941</c:v>
                </c:pt>
                <c:pt idx="43">
                  <c:v>0.0211729235871386</c:v>
                </c:pt>
                <c:pt idx="44">
                  <c:v>0.0221395902538052</c:v>
                </c:pt>
                <c:pt idx="45">
                  <c:v>0.0231284791426941</c:v>
                </c:pt>
                <c:pt idx="46">
                  <c:v>0.0241395902538052</c:v>
                </c:pt>
                <c:pt idx="47">
                  <c:v>0.0251729235871386</c:v>
                </c:pt>
                <c:pt idx="48">
                  <c:v>0.0262284791426941</c:v>
                </c:pt>
                <c:pt idx="49">
                  <c:v>0.0273062569204719</c:v>
                </c:pt>
                <c:pt idx="50">
                  <c:v>0.0284062569204719</c:v>
                </c:pt>
                <c:pt idx="51">
                  <c:v>0.0295284791426941</c:v>
                </c:pt>
                <c:pt idx="52">
                  <c:v>0.0306729235871386</c:v>
                </c:pt>
                <c:pt idx="53">
                  <c:v>0.0318395902538052</c:v>
                </c:pt>
                <c:pt idx="54">
                  <c:v>0.0330284791426941</c:v>
                </c:pt>
                <c:pt idx="55">
                  <c:v>0.0342395902538052</c:v>
                </c:pt>
                <c:pt idx="56">
                  <c:v>0.0354729235871386</c:v>
                </c:pt>
                <c:pt idx="57">
                  <c:v>0.0367284791426941</c:v>
                </c:pt>
                <c:pt idx="58">
                  <c:v>0.0380062569204719</c:v>
                </c:pt>
                <c:pt idx="59">
                  <c:v>0.0393062569204719</c:v>
                </c:pt>
                <c:pt idx="60">
                  <c:v>0.0406284791426941</c:v>
                </c:pt>
                <c:pt idx="61">
                  <c:v>0.0419729235871386</c:v>
                </c:pt>
                <c:pt idx="62">
                  <c:v>0.0433395902538052</c:v>
                </c:pt>
                <c:pt idx="63">
                  <c:v>0.0447284791426941</c:v>
                </c:pt>
                <c:pt idx="64">
                  <c:v>0.0461395902538052</c:v>
                </c:pt>
                <c:pt idx="65">
                  <c:v>0.0475729235871386</c:v>
                </c:pt>
                <c:pt idx="66">
                  <c:v>0.0490284791426941</c:v>
                </c:pt>
                <c:pt idx="67">
                  <c:v>0.0505062569204719</c:v>
                </c:pt>
                <c:pt idx="68">
                  <c:v>0.0520062569204719</c:v>
                </c:pt>
                <c:pt idx="69">
                  <c:v>0.0535284791426941</c:v>
                </c:pt>
                <c:pt idx="70">
                  <c:v>0.0550729235871386</c:v>
                </c:pt>
                <c:pt idx="71">
                  <c:v>0.0566395902538052</c:v>
                </c:pt>
                <c:pt idx="72">
                  <c:v>0.0582284791426941</c:v>
                </c:pt>
                <c:pt idx="73">
                  <c:v>0.0598395902538052</c:v>
                </c:pt>
                <c:pt idx="74">
                  <c:v>0.0614729235871386</c:v>
                </c:pt>
                <c:pt idx="75">
                  <c:v>0.0631284791426941</c:v>
                </c:pt>
                <c:pt idx="76">
                  <c:v>0.0648062569204719</c:v>
                </c:pt>
                <c:pt idx="77">
                  <c:v>0.0665062569204719</c:v>
                </c:pt>
                <c:pt idx="78">
                  <c:v>0.0682284791426941</c:v>
                </c:pt>
                <c:pt idx="79">
                  <c:v>0.0699729235871386</c:v>
                </c:pt>
                <c:pt idx="80">
                  <c:v>0.0717395902538052</c:v>
                </c:pt>
                <c:pt idx="81">
                  <c:v>0.0735284791426941</c:v>
                </c:pt>
                <c:pt idx="82">
                  <c:v>0.0753395902538053</c:v>
                </c:pt>
                <c:pt idx="83">
                  <c:v>0.0771729235871386</c:v>
                </c:pt>
                <c:pt idx="84">
                  <c:v>0.0790284791426941</c:v>
                </c:pt>
                <c:pt idx="85">
                  <c:v>0.0809062569204719</c:v>
                </c:pt>
                <c:pt idx="86">
                  <c:v>0.0828062569204719</c:v>
                </c:pt>
                <c:pt idx="87">
                  <c:v>0.0847284791426941</c:v>
                </c:pt>
                <c:pt idx="88">
                  <c:v>0.0866729235871386</c:v>
                </c:pt>
                <c:pt idx="89">
                  <c:v>0.0886395902538052</c:v>
                </c:pt>
                <c:pt idx="90">
                  <c:v>0.0906284791426942</c:v>
                </c:pt>
                <c:pt idx="91">
                  <c:v>0.0926395902538052</c:v>
                </c:pt>
                <c:pt idx="92">
                  <c:v>0.0946729235871386</c:v>
                </c:pt>
                <c:pt idx="93">
                  <c:v>0.0967284791426941</c:v>
                </c:pt>
                <c:pt idx="94">
                  <c:v>0.0988062569204719</c:v>
                </c:pt>
                <c:pt idx="95">
                  <c:v>0.100906256920472</c:v>
                </c:pt>
                <c:pt idx="96">
                  <c:v>0.103028479142694</c:v>
                </c:pt>
                <c:pt idx="97">
                  <c:v>0.105172923587139</c:v>
                </c:pt>
                <c:pt idx="98">
                  <c:v>0.107339590253805</c:v>
                </c:pt>
                <c:pt idx="99">
                  <c:v>0.109528479142694</c:v>
                </c:pt>
                <c:pt idx="100">
                  <c:v>0.111739590253805</c:v>
                </c:pt>
                <c:pt idx="101">
                  <c:v>0.113972923587139</c:v>
                </c:pt>
                <c:pt idx="102">
                  <c:v>0.116228479142694</c:v>
                </c:pt>
                <c:pt idx="103">
                  <c:v>0.118506256920472</c:v>
                </c:pt>
                <c:pt idx="104">
                  <c:v>0.120806256920472</c:v>
                </c:pt>
                <c:pt idx="105">
                  <c:v>0.123128479142694</c:v>
                </c:pt>
                <c:pt idx="106">
                  <c:v>0.125472923587139</c:v>
                </c:pt>
                <c:pt idx="107">
                  <c:v>0.127839590253805</c:v>
                </c:pt>
                <c:pt idx="108">
                  <c:v>0.130228479142694</c:v>
                </c:pt>
                <c:pt idx="109">
                  <c:v>0.132639590253805</c:v>
                </c:pt>
                <c:pt idx="110">
                  <c:v>0.135072923587139</c:v>
                </c:pt>
                <c:pt idx="111">
                  <c:v>0.137528479142694</c:v>
                </c:pt>
                <c:pt idx="112">
                  <c:v>0.140006256920472</c:v>
                </c:pt>
                <c:pt idx="113">
                  <c:v>0.142506256920472</c:v>
                </c:pt>
                <c:pt idx="114">
                  <c:v>0.145028479142694</c:v>
                </c:pt>
                <c:pt idx="115">
                  <c:v>0.147572923587139</c:v>
                </c:pt>
                <c:pt idx="116">
                  <c:v>0.150139590253805</c:v>
                </c:pt>
                <c:pt idx="117">
                  <c:v>0.152728479142694</c:v>
                </c:pt>
                <c:pt idx="118">
                  <c:v>0.155339590253805</c:v>
                </c:pt>
                <c:pt idx="119">
                  <c:v>0.157972923587139</c:v>
                </c:pt>
                <c:pt idx="120">
                  <c:v>0.160628479142694</c:v>
                </c:pt>
                <c:pt idx="121">
                  <c:v>0.163306256920472</c:v>
                </c:pt>
                <c:pt idx="122">
                  <c:v>0.166006256920472</c:v>
                </c:pt>
                <c:pt idx="123">
                  <c:v>0.168728479142694</c:v>
                </c:pt>
                <c:pt idx="124">
                  <c:v>0.171472923587139</c:v>
                </c:pt>
                <c:pt idx="125">
                  <c:v>0.174239590253805</c:v>
                </c:pt>
                <c:pt idx="126">
                  <c:v>0.177028479142694</c:v>
                </c:pt>
                <c:pt idx="127">
                  <c:v>0.179839590253805</c:v>
                </c:pt>
                <c:pt idx="128">
                  <c:v>0.182672923587139</c:v>
                </c:pt>
                <c:pt idx="129">
                  <c:v>0.185528479142694</c:v>
                </c:pt>
                <c:pt idx="130">
                  <c:v>0.188406256920472</c:v>
                </c:pt>
                <c:pt idx="131">
                  <c:v>0.191306256920472</c:v>
                </c:pt>
                <c:pt idx="132">
                  <c:v>0.194228479142694</c:v>
                </c:pt>
                <c:pt idx="133">
                  <c:v>0.197172923587139</c:v>
                </c:pt>
                <c:pt idx="134">
                  <c:v>0.200139590253805</c:v>
                </c:pt>
                <c:pt idx="135">
                  <c:v>0.203128479142694</c:v>
                </c:pt>
                <c:pt idx="136">
                  <c:v>0.206139590253805</c:v>
                </c:pt>
                <c:pt idx="137">
                  <c:v>0.209172923587139</c:v>
                </c:pt>
                <c:pt idx="138">
                  <c:v>0.212228479142694</c:v>
                </c:pt>
                <c:pt idx="139">
                  <c:v>0.215306256920472</c:v>
                </c:pt>
                <c:pt idx="140">
                  <c:v>0.218406256920472</c:v>
                </c:pt>
                <c:pt idx="141">
                  <c:v>0.221528479142694</c:v>
                </c:pt>
                <c:pt idx="142">
                  <c:v>0.224672923587139</c:v>
                </c:pt>
                <c:pt idx="143">
                  <c:v>0.227839590253805</c:v>
                </c:pt>
                <c:pt idx="144">
                  <c:v>0.231028479142694</c:v>
                </c:pt>
                <c:pt idx="145">
                  <c:v>0.234239590253805</c:v>
                </c:pt>
                <c:pt idx="146">
                  <c:v>0.237472923587139</c:v>
                </c:pt>
                <c:pt idx="147">
                  <c:v>0.240728479142694</c:v>
                </c:pt>
                <c:pt idx="148">
                  <c:v>0.244006256920472</c:v>
                </c:pt>
                <c:pt idx="149">
                  <c:v>0.247306256920472</c:v>
                </c:pt>
                <c:pt idx="150">
                  <c:v>0.250628479142694</c:v>
                </c:pt>
              </c:numCache>
            </c:numRef>
          </c:yVal>
          <c:smooth val="1"/>
        </c:ser>
        <c:dLbls>
          <c:showLegendKey val="0"/>
          <c:showVal val="0"/>
          <c:showCatName val="0"/>
          <c:showSerName val="0"/>
          <c:showPercent val="0"/>
          <c:showBubbleSize val="0"/>
        </c:dLbls>
        <c:axId val="178635520"/>
        <c:axId val="178616960"/>
      </c:scatterChart>
      <c:valAx>
        <c:axId val="178605056"/>
        <c:scaling>
          <c:orientation val="minMax"/>
        </c:scaling>
        <c:delete val="0"/>
        <c:axPos val="b"/>
        <c:majorGridlines/>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5040"/>
        <c:crosses val="autoZero"/>
        <c:crossBetween val="midCat"/>
      </c:valAx>
      <c:valAx>
        <c:axId val="178615040"/>
        <c:scaling>
          <c:orientation val="minMax"/>
          <c:max val="100"/>
          <c:min val="60"/>
        </c:scaling>
        <c:delete val="0"/>
        <c:axPos val="l"/>
        <c:majorGridlines/>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Efficiency</a:t>
                </a:r>
                <a:r>
                  <a:rPr lang="en-US" sz="1400" baseline="0"/>
                  <a:t> (%)</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05056"/>
        <c:crosses val="autoZero"/>
        <c:crossBetween val="midCat"/>
      </c:valAx>
      <c:valAx>
        <c:axId val="178635520"/>
        <c:scaling>
          <c:orientation val="minMax"/>
        </c:scaling>
        <c:delete val="1"/>
        <c:axPos val="b"/>
        <c:title>
          <c:tx>
            <c:rich>
              <a:bodyPr rot="0" spcFirstLastPara="0" vertOverflow="ellipsis" vert="horz" wrap="square" anchor="ctr" anchorCtr="1"/>
              <a:lstStyle/>
              <a:p>
                <a:pPr>
                  <a:defRPr lang="pl-PL" sz="1000" b="1" i="0" u="none" strike="noStrike" kern="1200" baseline="0">
                    <a:solidFill>
                      <a:schemeClr val="tx1"/>
                    </a:solidFill>
                    <a:latin typeface="+mn-lt"/>
                    <a:ea typeface="+mn-ea"/>
                    <a:cs typeface="+mn-cs"/>
                  </a:defRPr>
                </a:pPr>
                <a:r>
                  <a:rPr lang="en-US"/>
                  <a:t>Loac</a:t>
                </a:r>
                <a:r>
                  <a:rPr lang="en-US" baseline="0"/>
                  <a:t> Current (A)</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16960"/>
        <c:crosses val="autoZero"/>
        <c:crossBetween val="midCat"/>
      </c:valAx>
      <c:valAx>
        <c:axId val="178616960"/>
        <c:scaling>
          <c:orientation val="minMax"/>
        </c:scaling>
        <c:delete val="0"/>
        <c:axPos val="r"/>
        <c:title>
          <c:tx>
            <c:rich>
              <a:bodyPr rot="-5400000" spcFirstLastPara="0" vertOverflow="ellipsis" vert="horz" wrap="square" anchor="ctr" anchorCtr="1"/>
              <a:lstStyle/>
              <a:p>
                <a:pPr>
                  <a:defRPr lang="pl-PL" sz="1400" b="1" i="0" u="none" strike="noStrike" kern="1200" baseline="0">
                    <a:solidFill>
                      <a:schemeClr val="tx1"/>
                    </a:solidFill>
                    <a:latin typeface="+mn-lt"/>
                    <a:ea typeface="+mn-ea"/>
                    <a:cs typeface="+mn-cs"/>
                  </a:defRPr>
                </a:pPr>
                <a:r>
                  <a:rPr lang="en-US" sz="1400"/>
                  <a:t>Losses</a:t>
                </a:r>
                <a:r>
                  <a:rPr lang="en-US" sz="1400" baseline="0"/>
                  <a:t> (W)</a:t>
                </a:r>
                <a:endParaRPr lang="en-US" sz="1400"/>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crossAx val="178635520"/>
        <c:crosses val="max"/>
        <c:crossBetween val="midCat"/>
      </c:valAx>
    </c:plotArea>
    <c:legend>
      <c:legendPos val="r"/>
      <c:layout>
        <c:manualLayout>
          <c:xMode val="edge"/>
          <c:yMode val="edge"/>
          <c:x val="0.518944039261904"/>
          <c:y val="0.00648622047244094"/>
          <c:w val="0.396095729357041"/>
          <c:h val="0.121836530997006"/>
        </c:manualLayout>
      </c:layout>
      <c:overlay val="1"/>
      <c:txPr>
        <a:bodyPr rot="0" spcFirstLastPara="0" vertOverflow="ellipsis" vert="horz" wrap="square" anchor="ctr" anchorCtr="1"/>
        <a:lstStyle/>
        <a:p>
          <a:pPr>
            <a:defRPr lang="pl-PL"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1d3f89-6278-44e1-9e6e-868c9937126f}"/>
      </c:ext>
    </c:extLst>
  </c:chart>
  <c:spPr>
    <a:ln w="9525" cap="flat" cmpd="sng" algn="ctr">
      <a:noFill/>
      <a:prstDash val="solid"/>
      <a:round/>
    </a:ln>
  </c:spPr>
  <c:txPr>
    <a:bodyPr/>
    <a:lstStyle/>
    <a:p>
      <a:pPr>
        <a:defRPr lang="pl-PL"/>
      </a:pPr>
    </a:p>
  </c:txPr>
  <c:printSettings>
    <c:headerFooter/>
    <c:pageMargins b="0.75" l="0.7" r="0.7" t="0.75" header="0.3" footer="0.3"/>
    <c:pageSetup/>
  </c:printSettings>
</c:chartSpace>
</file>

<file path=xl/ctrlProps/ctrlProp1.xml><?xml version="1.0" encoding="utf-8"?>
<formControlPr xmlns="http://schemas.microsoft.com/office/spreadsheetml/2009/9/main" objectType="Spin" dx="20" fmlaLink="Loop_Modeling!$B$16" max="60" noThreeD="1" page="10" val="4"/>
</file>

<file path=xl/drawings/_rels/drawing1.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2.GIF"/><Relationship Id="rId1" Type="http://schemas.openxmlformats.org/officeDocument/2006/relationships/hyperlink" Target="http://www.ti.com" TargetMode="Externa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8" Type="http://schemas.openxmlformats.org/officeDocument/2006/relationships/image" Target="../media/image4.png"/><Relationship Id="rId7" Type="http://schemas.openxmlformats.org/officeDocument/2006/relationships/image" Target="../media/image3.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9</xdr:col>
      <xdr:colOff>22860</xdr:colOff>
      <xdr:row>52</xdr:row>
      <xdr:rowOff>1</xdr:rowOff>
    </xdr:from>
    <xdr:to>
      <xdr:col>25</xdr:col>
      <xdr:colOff>598714</xdr:colOff>
      <xdr:row>73</xdr:row>
      <xdr:rowOff>175261</xdr:rowOff>
    </xdr:to>
    <xdr:graphicFrame>
      <xdr:nvGraphicFramePr>
        <xdr:cNvPr id="2" name="Chart 1"/>
        <xdr:cNvGraphicFramePr/>
      </xdr:nvGraphicFramePr>
      <xdr:xfrm>
        <a:off x="5233035" y="11289665"/>
        <a:ext cx="9635490" cy="460438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22861</xdr:colOff>
      <xdr:row>76</xdr:row>
      <xdr:rowOff>7620</xdr:rowOff>
    </xdr:from>
    <xdr:to>
      <xdr:col>25</xdr:col>
      <xdr:colOff>600637</xdr:colOff>
      <xdr:row>100</xdr:row>
      <xdr:rowOff>163286</xdr:rowOff>
    </xdr:to>
    <xdr:graphicFrame>
      <xdr:nvGraphicFramePr>
        <xdr:cNvPr id="6" name="Chart 5"/>
        <xdr:cNvGraphicFramePr/>
      </xdr:nvGraphicFramePr>
      <xdr:xfrm>
        <a:off x="5233035" y="16402685"/>
        <a:ext cx="9635490" cy="49942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7</xdr:col>
          <xdr:colOff>752474</xdr:colOff>
          <xdr:row>58</xdr:row>
          <xdr:rowOff>0</xdr:rowOff>
        </xdr:from>
        <xdr:to>
          <xdr:col>8</xdr:col>
          <xdr:colOff>269327</xdr:colOff>
          <xdr:row>60</xdr:row>
          <xdr:rowOff>0</xdr:rowOff>
        </xdr:to>
        <xdr:sp>
          <xdr:nvSpPr>
            <xdr:cNvPr id="1060" name="Spinner 36" hidden="1">
              <a:extLst>
                <a:ext uri="{63B3BB69-23CF-44E3-9099-C40C66FF867C}">
                  <a14:compatExt spid="_x0000_s1060"/>
                </a:ext>
              </a:extLst>
            </xdr:cNvPr>
            <xdr:cNvSpPr/>
          </xdr:nvSpPr>
          <xdr:spPr>
            <a:xfrm>
              <a:off x="4885690" y="12442190"/>
              <a:ext cx="317500" cy="428625"/>
            </a:xfrm>
            <a:prstGeom prst="rect">
              <a:avLst/>
            </a:prstGeom>
          </xdr:spPr>
        </xdr:sp>
        <xdr:clientData/>
      </xdr:twoCellAnchor>
    </mc:Choice>
    <mc:Fallback/>
  </mc:AlternateContent>
  <xdr:twoCellAnchor>
    <xdr:from>
      <xdr:col>13</xdr:col>
      <xdr:colOff>560313</xdr:colOff>
      <xdr:row>51</xdr:row>
      <xdr:rowOff>62752</xdr:rowOff>
    </xdr:from>
    <xdr:to>
      <xdr:col>15</xdr:col>
      <xdr:colOff>289878</xdr:colOff>
      <xdr:row>53</xdr:row>
      <xdr:rowOff>161363</xdr:rowOff>
    </xdr:to>
    <xdr:sp>
      <xdr:nvSpPr>
        <xdr:cNvPr id="4" name="TextBox 3"/>
        <xdr:cNvSpPr txBox="1"/>
      </xdr:nvSpPr>
      <xdr:spPr>
        <a:xfrm>
          <a:off x="7865745" y="11161395"/>
          <a:ext cx="91059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15</xdr:col>
      <xdr:colOff>130006</xdr:colOff>
      <xdr:row>51</xdr:row>
      <xdr:rowOff>71718</xdr:rowOff>
    </xdr:from>
    <xdr:to>
      <xdr:col>16</xdr:col>
      <xdr:colOff>461700</xdr:colOff>
      <xdr:row>53</xdr:row>
      <xdr:rowOff>170330</xdr:rowOff>
    </xdr:to>
    <xdr:sp textlink="VIN_var">
      <xdr:nvSpPr>
        <xdr:cNvPr id="3" name="TextBox 2"/>
        <xdr:cNvSpPr txBox="1"/>
      </xdr:nvSpPr>
      <xdr:spPr>
        <a:xfrm>
          <a:off x="8616315" y="11170285"/>
          <a:ext cx="922655"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945AF08-B1D6-47C0-A1D9-CF710D8B3736}" type="TxLink">
            <a:rPr lang="en-US" sz="2400" b="0" i="0" u="none" strike="noStrike">
              <a:solidFill>
                <a:srgbClr val="000000"/>
              </a:solidFill>
              <a:latin typeface="Calibri" panose="020F0502020204030204"/>
              <a:cs typeface="Calibri" panose="020F0502020204030204"/>
            </a:rPr>
            <a:t>4</a:t>
          </a:fld>
          <a:endParaRPr lang="en-US" sz="4800"/>
        </a:p>
      </xdr:txBody>
    </xdr:sp>
    <xdr:clientData/>
  </xdr:twoCellAnchor>
  <xdr:twoCellAnchor>
    <xdr:from>
      <xdr:col>16</xdr:col>
      <xdr:colOff>271973</xdr:colOff>
      <xdr:row>51</xdr:row>
      <xdr:rowOff>62752</xdr:rowOff>
    </xdr:from>
    <xdr:to>
      <xdr:col>18</xdr:col>
      <xdr:colOff>11996</xdr:colOff>
      <xdr:row>53</xdr:row>
      <xdr:rowOff>161363</xdr:rowOff>
    </xdr:to>
    <xdr:sp>
      <xdr:nvSpPr>
        <xdr:cNvPr id="12" name="TextBox 11"/>
        <xdr:cNvSpPr txBox="1"/>
      </xdr:nvSpPr>
      <xdr:spPr>
        <a:xfrm>
          <a:off x="9349105" y="11161395"/>
          <a:ext cx="920750" cy="4800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376517</xdr:colOff>
      <xdr:row>76</xdr:row>
      <xdr:rowOff>26894</xdr:rowOff>
    </xdr:from>
    <xdr:to>
      <xdr:col>13</xdr:col>
      <xdr:colOff>116540</xdr:colOff>
      <xdr:row>78</xdr:row>
      <xdr:rowOff>134470</xdr:rowOff>
    </xdr:to>
    <xdr:sp>
      <xdr:nvSpPr>
        <xdr:cNvPr id="9" name="TextBox 8"/>
        <xdr:cNvSpPr txBox="1"/>
      </xdr:nvSpPr>
      <xdr:spPr>
        <a:xfrm>
          <a:off x="6500495" y="16421735"/>
          <a:ext cx="92138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r>
            <a:rPr lang="en-US" sz="2400" baseline="-25000"/>
            <a:t>IN</a:t>
          </a:r>
          <a:r>
            <a:rPr lang="en-US" sz="2400"/>
            <a:t> =</a:t>
          </a:r>
          <a:endParaRPr lang="en-US" sz="2400"/>
        </a:p>
      </xdr:txBody>
    </xdr:sp>
    <xdr:clientData/>
  </xdr:twoCellAnchor>
  <xdr:twoCellAnchor>
    <xdr:from>
      <xdr:col>13</xdr:col>
      <xdr:colOff>67851</xdr:colOff>
      <xdr:row>76</xdr:row>
      <xdr:rowOff>35860</xdr:rowOff>
    </xdr:from>
    <xdr:to>
      <xdr:col>14</xdr:col>
      <xdr:colOff>417475</xdr:colOff>
      <xdr:row>78</xdr:row>
      <xdr:rowOff>143437</xdr:rowOff>
    </xdr:to>
    <xdr:sp textlink="VIN_var">
      <xdr:nvSpPr>
        <xdr:cNvPr id="10" name="TextBox 9"/>
        <xdr:cNvSpPr txBox="1"/>
      </xdr:nvSpPr>
      <xdr:spPr>
        <a:xfrm>
          <a:off x="7372985" y="16430625"/>
          <a:ext cx="94043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3B256A8-11FB-4B1E-A1DF-DFACC41BEEAC}" type="TxLink">
            <a:rPr lang="en-US" sz="2400" b="0" i="0" u="none" strike="noStrike">
              <a:solidFill>
                <a:srgbClr val="000000"/>
              </a:solidFill>
              <a:latin typeface="Calibri" panose="020F0502020204030204"/>
              <a:cs typeface="Calibri" panose="020F0502020204030204"/>
            </a:rPr>
            <a:t>4</a:t>
          </a:fld>
          <a:endParaRPr lang="en-US" sz="4800"/>
        </a:p>
      </xdr:txBody>
    </xdr:sp>
    <xdr:clientData/>
  </xdr:twoCellAnchor>
  <xdr:twoCellAnchor>
    <xdr:from>
      <xdr:col>13</xdr:col>
      <xdr:colOff>554332</xdr:colOff>
      <xdr:row>76</xdr:row>
      <xdr:rowOff>26894</xdr:rowOff>
    </xdr:from>
    <xdr:to>
      <xdr:col>15</xdr:col>
      <xdr:colOff>283896</xdr:colOff>
      <xdr:row>78</xdr:row>
      <xdr:rowOff>134470</xdr:rowOff>
    </xdr:to>
    <xdr:sp>
      <xdr:nvSpPr>
        <xdr:cNvPr id="11" name="TextBox 10"/>
        <xdr:cNvSpPr txBox="1"/>
      </xdr:nvSpPr>
      <xdr:spPr>
        <a:xfrm>
          <a:off x="7859395" y="16421735"/>
          <a:ext cx="911225" cy="5168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a:t>V</a:t>
          </a:r>
          <a:endParaRPr lang="en-US" sz="2400"/>
        </a:p>
      </xdr:txBody>
    </xdr:sp>
    <xdr:clientData/>
  </xdr:twoCellAnchor>
  <xdr:twoCellAnchor>
    <xdr:from>
      <xdr:col>11</xdr:col>
      <xdr:colOff>89647</xdr:colOff>
      <xdr:row>67</xdr:row>
      <xdr:rowOff>134471</xdr:rowOff>
    </xdr:from>
    <xdr:to>
      <xdr:col>15</xdr:col>
      <xdr:colOff>201684</xdr:colOff>
      <xdr:row>68</xdr:row>
      <xdr:rowOff>114300</xdr:rowOff>
    </xdr:to>
    <xdr:sp textlink="Loop_Modeling!A77">
      <xdr:nvSpPr>
        <xdr:cNvPr id="13" name="TextBox 12"/>
        <xdr:cNvSpPr txBox="1"/>
      </xdr:nvSpPr>
      <xdr:spPr>
        <a:xfrm>
          <a:off x="6214110" y="14481175"/>
          <a:ext cx="2473960" cy="2184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37CE13BC-923D-44DF-81B9-035F6847C9BD}" type="TxLink">
            <a:rPr lang="en-US" sz="1100" b="1" i="0" u="none" strike="noStrike">
              <a:solidFill>
                <a:srgbClr val="FF0000"/>
              </a:solidFill>
              <a:latin typeface="Calibri" panose="020F0502020204030204"/>
              <a:cs typeface="Calibri" panose="020F0502020204030204"/>
            </a:rPr>
            <a:t>Crossover Frequency = 1,8 kHz</a:t>
          </a:fld>
          <a:endParaRPr lang="en-US" sz="2400" b="1">
            <a:solidFill>
              <a:srgbClr val="FF0000"/>
            </a:solidFill>
            <a:latin typeface="+mn-lt"/>
            <a:cs typeface="Arial" panose="020B0604020202020204" pitchFamily="7" charset="0"/>
          </a:endParaRPr>
        </a:p>
      </xdr:txBody>
    </xdr:sp>
    <xdr:clientData/>
  </xdr:twoCellAnchor>
  <xdr:twoCellAnchor>
    <xdr:from>
      <xdr:col>11</xdr:col>
      <xdr:colOff>156882</xdr:colOff>
      <xdr:row>69</xdr:row>
      <xdr:rowOff>56030</xdr:rowOff>
    </xdr:from>
    <xdr:to>
      <xdr:col>13</xdr:col>
      <xdr:colOff>202023</xdr:colOff>
      <xdr:row>70</xdr:row>
      <xdr:rowOff>31810</xdr:rowOff>
    </xdr:to>
    <xdr:sp textlink="Loop_Modeling!A78">
      <xdr:nvSpPr>
        <xdr:cNvPr id="14" name="TextBox 13"/>
        <xdr:cNvSpPr txBox="1"/>
      </xdr:nvSpPr>
      <xdr:spPr>
        <a:xfrm>
          <a:off x="6281420" y="14831695"/>
          <a:ext cx="1226185" cy="1758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6C0E0563-A684-422E-8470-05FA83E0B546}" type="TxLink">
            <a:rPr lang="en-US" sz="1100" b="1" i="0" u="none" strike="noStrike">
              <a:solidFill>
                <a:srgbClr val="002060"/>
              </a:solidFill>
              <a:latin typeface="Calibri" panose="020F0502020204030204"/>
              <a:cs typeface="Calibri" panose="020F0502020204030204"/>
            </a:rPr>
            <a:t>Phase Margin = 80°</a:t>
          </a:fld>
          <a:endParaRPr lang="en-US" sz="2400" b="1">
            <a:solidFill>
              <a:srgbClr val="002060"/>
            </a:solidFill>
          </a:endParaRPr>
        </a:p>
      </xdr:txBody>
    </xdr:sp>
    <xdr:clientData/>
  </xdr:twoCellAnchor>
  <xdr:twoCellAnchor editAs="oneCell">
    <xdr:from>
      <xdr:col>10</xdr:col>
      <xdr:colOff>324970</xdr:colOff>
      <xdr:row>11</xdr:row>
      <xdr:rowOff>59671</xdr:rowOff>
    </xdr:from>
    <xdr:to>
      <xdr:col>25</xdr:col>
      <xdr:colOff>37679</xdr:colOff>
      <xdr:row>33</xdr:row>
      <xdr:rowOff>212911</xdr:rowOff>
    </xdr:to>
    <xdr:pic>
      <xdr:nvPicPr>
        <xdr:cNvPr id="8" name="Picture 7"/>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5858510" y="2661920"/>
          <a:ext cx="8456930" cy="480187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152400</xdr:rowOff>
    </xdr:from>
    <xdr:to>
      <xdr:col>1</xdr:col>
      <xdr:colOff>592455</xdr:colOff>
      <xdr:row>2</xdr:row>
      <xdr:rowOff>83771</xdr:rowOff>
    </xdr:to>
    <xdr:pic>
      <xdr:nvPicPr>
        <xdr:cNvPr id="2" name="Picture 1" descr="ti logo">
          <a:hlinkClick xmlns:r="http://schemas.openxmlformats.org/officeDocument/2006/relationships" r:id="rId1"/>
        </xdr:cNvPr>
        <xdr:cNvPicPr>
          <a:picLocks noChangeAspect="1" noChangeArrowheads="1"/>
        </xdr:cNvPicPr>
      </xdr:nvPicPr>
      <xdr:blipFill>
        <a:blip r:embed="rId2" cstate="print">
          <a:extLst>
            <a:ext uri="{28A0092B-C50C-407E-A947-70E740481C1C}">
              <a14:useLocalDpi xmlns:a14="http://schemas.microsoft.com/office/drawing/2010/main" val="0"/>
            </a:ext>
          </a:extLst>
        </a:blip>
        <a:srcRect/>
        <a:stretch>
          <a:fillRect/>
        </a:stretch>
      </xdr:blipFill>
      <xdr:spPr>
        <a:xfrm>
          <a:off x="0" y="152400"/>
          <a:ext cx="2306955" cy="292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xdr:nvSpPr>
        <xdr:cNvPr id="3" name="TextBox 2"/>
        <xdr:cNvSpPr txBox="1"/>
      </xdr:nvSpPr>
      <xdr:spPr>
        <a:xfrm>
          <a:off x="1914525" y="114300"/>
          <a:ext cx="3752850" cy="3816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endParaRPr lang="en-US" sz="1600">
            <a:latin typeface="Arial Black" panose="020B0A04020102020204" pitchFamily="34" charset="0"/>
          </a:endParaRPr>
        </a:p>
      </xdr:txBody>
    </xdr:sp>
    <xdr:clientData/>
  </xdr:oneCellAnchor>
  <xdr:oneCellAnchor>
    <xdr:from>
      <xdr:col>3</xdr:col>
      <xdr:colOff>323850</xdr:colOff>
      <xdr:row>1</xdr:row>
      <xdr:rowOff>28575</xdr:rowOff>
    </xdr:from>
    <xdr:ext cx="4719497" cy="254557"/>
    <xdr:sp>
      <xdr:nvSpPr>
        <xdr:cNvPr id="4" name="TextBox 3">
          <a:hlinkClick xmlns:r="http://schemas.openxmlformats.org/officeDocument/2006/relationships" r:id="rId3"/>
        </xdr:cNvPr>
        <xdr:cNvSpPr txBox="1"/>
      </xdr:nvSpPr>
      <xdr:spPr>
        <a:xfrm>
          <a:off x="6419850" y="209550"/>
          <a:ext cx="471932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7" charset="0"/>
              <a:ea typeface="+mn-ea"/>
              <a:cs typeface="Arial" panose="020B0604020202020204" pitchFamily="7" charset="0"/>
            </a:rPr>
            <a:t>© Copyright 2024</a:t>
          </a:r>
          <a:r>
            <a:rPr lang="en-US" sz="1100" b="0" i="0">
              <a:solidFill>
                <a:schemeClr val="tx1"/>
              </a:solidFill>
              <a:effectLst/>
              <a:latin typeface="Arial" panose="020B0604020202020204" pitchFamily="7" charset="0"/>
              <a:ea typeface="+mn-ea"/>
              <a:cs typeface="Arial" panose="020B0604020202020204" pitchFamily="7" charset="0"/>
            </a:rPr>
            <a:t> Texas Instruments Incorporated. All rights reserved.</a:t>
          </a:r>
          <a:endParaRPr lang="en-US" sz="1100" b="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086227"/>
    <xdr:sp>
      <xdr:nvSpPr>
        <xdr:cNvPr id="5" name="TextBox 4"/>
        <xdr:cNvSpPr txBox="1"/>
      </xdr:nvSpPr>
      <xdr:spPr>
        <a:xfrm>
          <a:off x="94615" y="1132840"/>
          <a:ext cx="11229975" cy="40868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1">
              <a:latin typeface="Arial" panose="020B0604020202020204" pitchFamily="7" charset="0"/>
              <a:cs typeface="Arial" panose="020B0604020202020204" pitchFamily="7" charset="0"/>
            </a:rPr>
            <a:t>LICENSE INFORMATION:</a:t>
          </a:r>
          <a:endParaRPr lang="en-US" sz="1000" b="1">
            <a:latin typeface="Arial" panose="020B0604020202020204" pitchFamily="7" charset="0"/>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Copyright (c) 2021 Texas Instruments Incorporated</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All rights reserved not granted herein.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Limited License.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Texas Instruments Incorporated grants a world-wide, royalty-free, non-exclusive license under copyrights and patents it now or hereafter owns or controls to make, have made, use, import, offer to sell and sell ("Utilize") this software subject to the terms herein.  With respect to the foregoing patent license, such license is granted  solely to the extent that any such patent is necessary to Utilize the software alone.  The patent license shall not apply to any combinations which include this software, other than combinations with devices manufactured by or for TI (“TI Devices”).  No hardware patent is licensed hereunder.</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Redistributions must preserve existing copyright notices and reproduce this license (including the above copyright notice and the disclaimer and (if applicable) source code license limitations below) in the documentation and/or other materials provided with the distribution</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Redistribution and use in binary form, without modification,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 reverse engineering, decompilation, or disassembly of this software is permitted with respect to any software provided in binary form.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Nothing shall obligate TI to provide you with source code for the software licensed and provided to you in object code.</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If software source code is provided to you, modification and redistribution of the source code are permitted provided that the following conditions are met:</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the source code, including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	Any redistribution and use of any object code compiled from the source code and any resulting derivative works, are licensed by TI for use only with TI Devices.</a:t>
          </a:r>
          <a:endParaRPr lang="en-US" sz="900">
            <a:solidFill>
              <a:schemeClr val="tx1"/>
            </a:solidFill>
            <a:effectLst/>
            <a:latin typeface="Arial" panose="020B0604020202020204" pitchFamily="7" charset="0"/>
            <a:ea typeface="+mn-ea"/>
            <a:cs typeface="Arial" panose="020B0604020202020204" pitchFamily="7" charset="0"/>
          </a:endParaRPr>
        </a:p>
        <a:p>
          <a:endParaRPr lang="en-US" sz="900">
            <a:solidFill>
              <a:schemeClr val="tx1"/>
            </a:solidFill>
            <a:effectLst/>
            <a:latin typeface="Arial" panose="020B0604020202020204" pitchFamily="7" charset="0"/>
            <a:ea typeface="+mn-ea"/>
            <a:cs typeface="Arial" panose="020B0604020202020204" pitchFamily="7" charset="0"/>
          </a:endParaRPr>
        </a:p>
        <a:p>
          <a:r>
            <a:rPr lang="en-US" sz="900">
              <a:solidFill>
                <a:schemeClr val="tx1"/>
              </a:solidFill>
              <a:effectLst/>
              <a:latin typeface="Arial" panose="020B0604020202020204" pitchFamily="7" charset="0"/>
              <a:ea typeface="+mn-ea"/>
              <a:cs typeface="Arial" panose="020B0604020202020204" pitchFamily="7" charset="0"/>
            </a:rPr>
            <a:t>Neither the name of Texas Instruments Incorporated nor the names of its suppliers may be used to endorse or promote products derived from this software without specific prior written permission.</a:t>
          </a:r>
          <a:endParaRPr lang="en-US" sz="1000" b="1">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endParaRPr lang="en-US" sz="1000"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1000" b="1" baseline="0">
              <a:latin typeface="Arial" panose="020B0604020202020204" pitchFamily="7" charset="0"/>
              <a:cs typeface="Arial" panose="020B0604020202020204" pitchFamily="7" charset="0"/>
            </a:rPr>
            <a:t>DISCLAMER:</a:t>
          </a:r>
          <a:endParaRPr lang="en-US" sz="1000" b="1" baseline="0">
            <a:latin typeface="Arial" panose="020B0604020202020204" pitchFamily="7" charset="0"/>
            <a:cs typeface="Arial" panose="020B0604020202020204" pitchFamily="7" charset="0"/>
          </a:endParaRPr>
        </a:p>
        <a:p>
          <a:pPr marL="0" marR="0" indent="0" defTabSz="914400" eaLnBrk="1" fontAlgn="auto" latinLnBrk="0" hangingPunct="1">
            <a:lnSpc>
              <a:spcPct val="100000"/>
            </a:lnSpc>
            <a:spcBef>
              <a:spcPts val="0"/>
            </a:spcBef>
            <a:spcAft>
              <a:spcPts val="0"/>
            </a:spcAft>
            <a:buClrTx/>
            <a:buSzTx/>
            <a:buFontTx/>
            <a:buNone/>
            <a:defRPr/>
          </a:pPr>
          <a:r>
            <a:rPr lang="en-US" sz="800" baseline="0">
              <a:latin typeface="Arial" panose="020B0604020202020204" pitchFamily="7" charset="0"/>
              <a:cs typeface="Arial" panose="020B0604020202020204" pitchFamily="7" charset="0"/>
            </a:rPr>
            <a:t>THIS SOFTWARE IS PROVIDED BY TI AND TI’S LICENSORS "AS IS" AND ANY EXPRESS OR IMPLIED WARRANTIES, INCLUDING, BUT NOT LIMITED TO, THE IMPLIED WARRANTIES OF MERCHANTABILITY AND FITNESS FOR A PARTICULAR PURPOSE ARE DISCLAIMED. IN NO EVENT SHALL TI AND TI’S LICENSORS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a:t>
          </a:r>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29</xdr:row>
      <xdr:rowOff>47623</xdr:rowOff>
    </xdr:from>
    <xdr:ext cx="11229977" cy="809627"/>
    <xdr:sp>
      <xdr:nvSpPr>
        <xdr:cNvPr id="6" name="TextBox 5"/>
        <xdr:cNvSpPr txBox="1"/>
      </xdr:nvSpPr>
      <xdr:spPr>
        <a:xfrm>
          <a:off x="94615" y="5295265"/>
          <a:ext cx="11229975" cy="810260"/>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7" charset="0"/>
            <a:cs typeface="Arial" panose="020B0604020202020204" pitchFamily="7" charset="0"/>
          </a:endParaRPr>
        </a:p>
      </xdr:txBody>
    </xdr:sp>
    <xdr:clientData/>
  </xdr:oneCellAnchor>
  <xdr:oneCellAnchor>
    <xdr:from>
      <xdr:col>0</xdr:col>
      <xdr:colOff>95247</xdr:colOff>
      <xdr:row>6</xdr:row>
      <xdr:rowOff>47623</xdr:rowOff>
    </xdr:from>
    <xdr:ext cx="11229977" cy="4200527"/>
    <xdr:sp>
      <xdr:nvSpPr>
        <xdr:cNvPr id="7" name="TextBox 6"/>
        <xdr:cNvSpPr txBox="1"/>
      </xdr:nvSpPr>
      <xdr:spPr>
        <a:xfrm>
          <a:off x="94615" y="1132840"/>
          <a:ext cx="11229975" cy="4201160"/>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algn="ctr" defTabSz="914400" eaLnBrk="1" fontAlgn="auto" latinLnBrk="0" hangingPunct="1">
            <a:lnSpc>
              <a:spcPct val="100000"/>
            </a:lnSpc>
            <a:spcBef>
              <a:spcPts val="0"/>
            </a:spcBef>
            <a:spcAft>
              <a:spcPts val="0"/>
            </a:spcAft>
            <a:buClrTx/>
            <a:buSzTx/>
            <a:buFontTx/>
            <a:buNone/>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endParaRPr kumimoji="0" lang="en-US" sz="1800" b="1"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DESIGNS), APPLICATION OR OTHER DESIGN ADVICE, WEB TOOLS, SAFETY INFORMATION, AND OTHER RESOURCES “AS IS”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AND WITH ALL FAULTS, AND DISCLAIMS ALL WARRANTIES, EXPRESS AND IMPLIED, INCLUDING WITHOUT LIMITATION ANY</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IMPLIED WARRANTIES OF MERCHANTABILITY, FITNESS FOR A PARTICULAR PURPOSE OR NON-INFRINGEMENT OF THIRD</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PARTY INTELLECTUAL PROPERTY RIGHTS.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intended for skilled developers designing with TI products. You are solely responsible for (1) selecting the appropriate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 for your application, (2) designing, validating and testing your application, and (3) ensuring your application meets applicable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standards, and any other safety, security, regulatory or other requirements.</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These resources are subject to change without notice. TI grants you permission to use these resources only for development of an</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application that uses the TI products described in the resource. Other reproduction and display of these resources is prohibited. No license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is granted to any other TI intellectual property right or to any third party intellectual property right. TI disclaims responsibility for, and you</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will fully indemnify TI and its representatives against, any claims, damages, costs, losses, and liabilities arising out of your use of these</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resources.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TI’s products are provided subject to TI’s Terms of Sale or other applicable terms available either on ti.com or provided in conjunction with</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such TI products. TI’s provision of these resources does not expand or otherwise alter TI’s applicable warranties or warranty disclaimers for</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products.</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objects to and rejects any additional or different terms you may have proposed. IMPORTANT NOTICE</a:t>
          </a:r>
          <a:endParaRPr kumimoji="0" lang="en-US" sz="1050" b="0" i="0" u="none" strike="noStrike" kern="0" cap="none" spc="0" normalizeH="0" baseline="0" noProof="0">
            <a:ln>
              <a:noFill/>
            </a:ln>
            <a:solidFill>
              <a:sysClr val="windowText" lastClr="000000"/>
            </a:solidFill>
            <a:effectLst/>
            <a:uLnTx/>
            <a:uFillTx/>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Mailing Address: Texas Instruments, Post Office Box 655303, Dallas, Texas 75265</a:t>
          </a: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Copyright © 2024,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7" charset="0"/>
            <a:ea typeface="+mn-ea"/>
            <a:cs typeface="Arial" panose="020B0604020202020204" pitchFamily="7" charset="0"/>
          </a:endParaRPr>
        </a:p>
      </xdr:txBody>
    </xdr:sp>
    <xdr:clientData/>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9</xdr:col>
      <xdr:colOff>505866</xdr:colOff>
      <xdr:row>199</xdr:row>
      <xdr:rowOff>166488</xdr:rowOff>
    </xdr:from>
    <xdr:to>
      <xdr:col>15</xdr:col>
      <xdr:colOff>375236</xdr:colOff>
      <xdr:row>202</xdr:row>
      <xdr:rowOff>52509</xdr:rowOff>
    </xdr:to>
    <xdr:sp>
      <xdr:nvSpPr>
        <xdr:cNvPr id="2" name="TextBox 1"/>
        <xdr:cNvSpPr txBox="1"/>
      </xdr:nvSpPr>
      <xdr:spPr>
        <a:xfrm>
          <a:off x="10039985" y="38262560"/>
          <a:ext cx="3698240" cy="457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Need to explain the placement of the Zero</a:t>
          </a:r>
          <a:r>
            <a:rPr lang="en-US" sz="1100" baseline="0"/>
            <a:t> a little bit better. The pole location should also be based on the location of the zero</a:t>
          </a:r>
          <a:endParaRPr lang="en-US" sz="1100"/>
        </a:p>
      </xdr:txBody>
    </xdr:sp>
    <xdr:clientData/>
  </xdr:twoCellAnchor>
  <xdr:twoCellAnchor>
    <xdr:from>
      <xdr:col>8</xdr:col>
      <xdr:colOff>842683</xdr:colOff>
      <xdr:row>174</xdr:row>
      <xdr:rowOff>17930</xdr:rowOff>
    </xdr:from>
    <xdr:to>
      <xdr:col>14</xdr:col>
      <xdr:colOff>475130</xdr:colOff>
      <xdr:row>184</xdr:row>
      <xdr:rowOff>98613</xdr:rowOff>
    </xdr:to>
    <xdr:sp>
      <xdr:nvSpPr>
        <xdr:cNvPr id="4" name="TextBox 3"/>
        <xdr:cNvSpPr txBox="1"/>
      </xdr:nvSpPr>
      <xdr:spPr>
        <a:xfrm>
          <a:off x="9534525" y="33351470"/>
          <a:ext cx="3703955" cy="198564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Loop</a:t>
          </a:r>
          <a:r>
            <a:rPr lang="en-US" sz="1100" baseline="0"/>
            <a:t> compensation is calculated for the minimum input voltage. This ensure stability over the input votlage range</a:t>
          </a:r>
          <a:endParaRPr lang="en-US" sz="1100"/>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8</xdr:col>
      <xdr:colOff>375238</xdr:colOff>
      <xdr:row>64</xdr:row>
      <xdr:rowOff>185055</xdr:rowOff>
    </xdr:from>
    <xdr:to>
      <xdr:col>16</xdr:col>
      <xdr:colOff>643009</xdr:colOff>
      <xdr:row>84</xdr:row>
      <xdr:rowOff>3117</xdr:rowOff>
    </xdr:to>
    <xdr:graphicFrame>
      <xdr:nvGraphicFramePr>
        <xdr:cNvPr id="2" name="Chart 1"/>
        <xdr:cNvGraphicFramePr/>
      </xdr:nvGraphicFramePr>
      <xdr:xfrm>
        <a:off x="5175250" y="12786360"/>
        <a:ext cx="5092700" cy="36277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14</xdr:col>
      <xdr:colOff>1051560</xdr:colOff>
      <xdr:row>49</xdr:row>
      <xdr:rowOff>45720</xdr:rowOff>
    </xdr:from>
    <xdr:to>
      <xdr:col>25</xdr:col>
      <xdr:colOff>563880</xdr:colOff>
      <xdr:row>73</xdr:row>
      <xdr:rowOff>19050</xdr:rowOff>
    </xdr:to>
    <xdr:graphicFrame>
      <xdr:nvGraphicFramePr>
        <xdr:cNvPr id="4" name="Chart 3"/>
        <xdr:cNvGraphicFramePr/>
      </xdr:nvGraphicFramePr>
      <xdr:xfrm>
        <a:off x="11138535" y="9675495"/>
        <a:ext cx="7122795" cy="455485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45</xdr:col>
      <xdr:colOff>186690</xdr:colOff>
      <xdr:row>39</xdr:row>
      <xdr:rowOff>167640</xdr:rowOff>
    </xdr:from>
    <xdr:to>
      <xdr:col>47</xdr:col>
      <xdr:colOff>515247</xdr:colOff>
      <xdr:row>45</xdr:row>
      <xdr:rowOff>69932</xdr:rowOff>
    </xdr:to>
    <xdr:pic>
      <xdr:nvPicPr>
        <xdr:cNvPr id="7" name="Picture 6"/>
        <xdr:cNvPicPr>
          <a:picLocks noChangeAspect="1"/>
        </xdr:cNvPicPr>
      </xdr:nvPicPr>
      <xdr:blipFill>
        <a:blip r:embed="rId7"/>
        <a:stretch>
          <a:fillRect/>
        </a:stretch>
      </xdr:blipFill>
      <xdr:spPr>
        <a:xfrm>
          <a:off x="30104715" y="7892415"/>
          <a:ext cx="1804670" cy="1045210"/>
        </a:xfrm>
        <a:prstGeom prst="rect">
          <a:avLst/>
        </a:prstGeom>
      </xdr:spPr>
    </xdr:pic>
    <xdr:clientData/>
  </xdr:twoCellAnchor>
  <xdr:twoCellAnchor editAs="oneCell">
    <xdr:from>
      <xdr:col>47</xdr:col>
      <xdr:colOff>247650</xdr:colOff>
      <xdr:row>40</xdr:row>
      <xdr:rowOff>60960</xdr:rowOff>
    </xdr:from>
    <xdr:to>
      <xdr:col>51</xdr:col>
      <xdr:colOff>567929</xdr:colOff>
      <xdr:row>44</xdr:row>
      <xdr:rowOff>129611</xdr:rowOff>
    </xdr:to>
    <xdr:pic>
      <xdr:nvPicPr>
        <xdr:cNvPr id="8" name="Picture 7"/>
        <xdr:cNvPicPr>
          <a:picLocks noChangeAspect="1"/>
        </xdr:cNvPicPr>
      </xdr:nvPicPr>
      <xdr:blipFill>
        <a:blip r:embed="rId8"/>
        <a:stretch>
          <a:fillRect/>
        </a:stretch>
      </xdr:blipFill>
      <xdr:spPr>
        <a:xfrm>
          <a:off x="31642050" y="7976235"/>
          <a:ext cx="2720340" cy="830580"/>
        </a:xfrm>
        <a:prstGeom prst="rect">
          <a:avLst/>
        </a:prstGeom>
      </xdr:spPr>
    </xdr:pic>
    <xdr:clientData/>
  </xdr:twoCellAnchor>
  <xdr:twoCellAnchor>
    <xdr:from>
      <xdr:col>44</xdr:col>
      <xdr:colOff>30480</xdr:colOff>
      <xdr:row>49</xdr:row>
      <xdr:rowOff>64770</xdr:rowOff>
    </xdr:from>
    <xdr:to>
      <xdr:col>55</xdr:col>
      <xdr:colOff>144780</xdr:colOff>
      <xdr:row>73</xdr:row>
      <xdr:rowOff>38100</xdr:rowOff>
    </xdr:to>
    <xdr:graphicFrame>
      <xdr:nvGraphicFramePr>
        <xdr:cNvPr id="9" name="Chart 8"/>
        <xdr:cNvGraphicFramePr/>
      </xdr:nvGraphicFramePr>
      <xdr:xfrm>
        <a:off x="29348430" y="9694545"/>
        <a:ext cx="6981825" cy="455485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7620</xdr:colOff>
      <xdr:row>21</xdr:row>
      <xdr:rowOff>121920</xdr:rowOff>
    </xdr:from>
    <xdr:to>
      <xdr:col>26</xdr:col>
      <xdr:colOff>45720</xdr:colOff>
      <xdr:row>45</xdr:row>
      <xdr:rowOff>80010</xdr:rowOff>
    </xdr:to>
    <xdr:graphicFrame>
      <xdr:nvGraphicFramePr>
        <xdr:cNvPr id="10" name="Chart 9"/>
        <xdr:cNvGraphicFramePr/>
      </xdr:nvGraphicFramePr>
      <xdr:xfrm>
        <a:off x="11199495" y="4408170"/>
        <a:ext cx="7143750" cy="453961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8325</xdr:colOff>
      <xdr:row>32</xdr:row>
      <xdr:rowOff>8964</xdr:rowOff>
    </xdr:from>
    <xdr:to>
      <xdr:col>11</xdr:col>
      <xdr:colOff>591031</xdr:colOff>
      <xdr:row>40</xdr:row>
      <xdr:rowOff>131269</xdr:rowOff>
    </xdr:to>
    <xdr:sp>
      <xdr:nvSpPr>
        <xdr:cNvPr id="11" name="TextBox 10"/>
        <xdr:cNvSpPr txBox="1"/>
      </xdr:nvSpPr>
      <xdr:spPr>
        <a:xfrm>
          <a:off x="6513830" y="6400165"/>
          <a:ext cx="2363470" cy="16459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8</xdr:col>
      <xdr:colOff>0</xdr:colOff>
      <xdr:row>49</xdr:row>
      <xdr:rowOff>13855</xdr:rowOff>
    </xdr:from>
    <xdr:to>
      <xdr:col>12</xdr:col>
      <xdr:colOff>83127</xdr:colOff>
      <xdr:row>60</xdr:row>
      <xdr:rowOff>13855</xdr:rowOff>
    </xdr:to>
    <xdr:sp>
      <xdr:nvSpPr>
        <xdr:cNvPr id="12" name="TextBox 11"/>
        <xdr:cNvSpPr txBox="1"/>
      </xdr:nvSpPr>
      <xdr:spPr>
        <a:xfrm>
          <a:off x="6505575" y="9643110"/>
          <a:ext cx="2463800" cy="2105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error amplifier is the same regardless of the mode of operation</a:t>
          </a:r>
          <a:endParaRPr lang="en-US" sz="1100" baseline="0"/>
        </a:p>
      </xdr:txBody>
    </xdr:sp>
    <xdr:clientData/>
  </xdr:twoCellAnchor>
  <xdr:twoCellAnchor>
    <xdr:from>
      <xdr:col>31</xdr:col>
      <xdr:colOff>313764</xdr:colOff>
      <xdr:row>48</xdr:row>
      <xdr:rowOff>179295</xdr:rowOff>
    </xdr:from>
    <xdr:to>
      <xdr:col>42</xdr:col>
      <xdr:colOff>438673</xdr:colOff>
      <xdr:row>72</xdr:row>
      <xdr:rowOff>152625</xdr:rowOff>
    </xdr:to>
    <xdr:graphicFrame>
      <xdr:nvGraphicFramePr>
        <xdr:cNvPr id="14" name="Chart 13"/>
        <xdr:cNvGraphicFramePr/>
      </xdr:nvGraphicFramePr>
      <xdr:xfrm>
        <a:off x="21602065" y="9618345"/>
        <a:ext cx="6991985" cy="45548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0</xdr:colOff>
      <xdr:row>22</xdr:row>
      <xdr:rowOff>0</xdr:rowOff>
    </xdr:from>
    <xdr:to>
      <xdr:col>42</xdr:col>
      <xdr:colOff>97865</xdr:colOff>
      <xdr:row>45</xdr:row>
      <xdr:rowOff>144855</xdr:rowOff>
    </xdr:to>
    <xdr:graphicFrame>
      <xdr:nvGraphicFramePr>
        <xdr:cNvPr id="15" name="Chart 14"/>
        <xdr:cNvGraphicFramePr/>
      </xdr:nvGraphicFramePr>
      <xdr:xfrm>
        <a:off x="21288375" y="4476750"/>
        <a:ext cx="6965315" cy="453580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44</xdr:col>
      <xdr:colOff>0</xdr:colOff>
      <xdr:row>22</xdr:row>
      <xdr:rowOff>0</xdr:rowOff>
    </xdr:from>
    <xdr:to>
      <xdr:col>55</xdr:col>
      <xdr:colOff>269688</xdr:colOff>
      <xdr:row>45</xdr:row>
      <xdr:rowOff>144855</xdr:rowOff>
    </xdr:to>
    <xdr:graphicFrame>
      <xdr:nvGraphicFramePr>
        <xdr:cNvPr id="16" name="Chart 15"/>
        <xdr:cNvGraphicFramePr/>
      </xdr:nvGraphicFramePr>
      <xdr:xfrm>
        <a:off x="29317950" y="4476750"/>
        <a:ext cx="7136765" cy="453580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2</xdr:col>
      <xdr:colOff>0</xdr:colOff>
      <xdr:row>2</xdr:row>
      <xdr:rowOff>0</xdr:rowOff>
    </xdr:from>
    <xdr:to>
      <xdr:col>3</xdr:col>
      <xdr:colOff>9157</xdr:colOff>
      <xdr:row>3</xdr:row>
      <xdr:rowOff>0</xdr:rowOff>
    </xdr:to>
    <xdr:graphicFrame>
      <xdr:nvGraphicFramePr>
        <xdr:cNvPr id="3" name="Chart 2"/>
        <xdr:cNvGraphicFramePr/>
      </xdr:nvGraphicFramePr>
      <xdr:xfrm>
        <a:off x="1200150" y="381000"/>
        <a:ext cx="9667240" cy="48221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50800</xdr:colOff>
      <xdr:row>1</xdr:row>
      <xdr:rowOff>610854</xdr:rowOff>
    </xdr:from>
    <xdr:to>
      <xdr:col>2</xdr:col>
      <xdr:colOff>3175</xdr:colOff>
      <xdr:row>1</xdr:row>
      <xdr:rowOff>3136990</xdr:rowOff>
    </xdr:to>
    <xdr:pic>
      <xdr:nvPicPr>
        <xdr:cNvPr id="3" name="Picture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50875" y="800735"/>
          <a:ext cx="4705350" cy="252666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ctrlProp" Target="../ctrlProps/ctrlProp1.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0000"/>
    <pageSetUpPr fitToPage="1"/>
  </sheetPr>
  <dimension ref="A1:AA102"/>
  <sheetViews>
    <sheetView tabSelected="1" topLeftCell="A2" workbookViewId="0">
      <selection activeCell="H71" sqref="H71"/>
    </sheetView>
  </sheetViews>
  <sheetFormatPr defaultColWidth="8.85714285714286" defaultRowHeight="15"/>
  <cols>
    <col min="1" max="6" width="8.85714285714286" style="170" customWidth="1"/>
    <col min="7" max="7" width="8.85714285714286" style="171" customWidth="1"/>
    <col min="8" max="8" width="12" style="170" customWidth="1"/>
    <col min="9" max="9" width="4.14285714285714" style="170" customWidth="1"/>
    <col min="10" max="10" width="4.85714285714286" style="170" customWidth="1"/>
    <col min="11" max="20" width="8.85714285714286" style="170" customWidth="1"/>
    <col min="21" max="21" width="8.85714285714286" style="168" customWidth="1"/>
    <col min="22" max="22" width="7.14285714285714" style="170" customWidth="1"/>
    <col min="23" max="26" width="8.85714285714286" style="170" customWidth="1"/>
    <col min="27" max="27" width="1.85714285714286" style="172" customWidth="1"/>
    <col min="28" max="16384" width="8.85714285714286" style="170"/>
  </cols>
  <sheetData>
    <row r="1" ht="46.7" customHeight="1" spans="1:27">
      <c r="A1" s="173"/>
      <c r="B1" s="173"/>
      <c r="C1" s="173"/>
      <c r="D1" s="173"/>
      <c r="E1" s="174" t="s">
        <v>0</v>
      </c>
      <c r="F1" s="173"/>
      <c r="G1" s="175"/>
      <c r="H1" s="173"/>
      <c r="I1" s="173"/>
      <c r="J1" s="173"/>
      <c r="K1" s="173"/>
      <c r="L1" s="173"/>
      <c r="M1" s="173"/>
      <c r="N1" s="173"/>
      <c r="O1" s="173"/>
      <c r="P1" s="173"/>
      <c r="Q1" s="173"/>
      <c r="R1" s="173"/>
      <c r="S1" s="173"/>
      <c r="T1" s="173"/>
      <c r="U1" s="176"/>
      <c r="V1" s="173"/>
      <c r="W1" s="173"/>
      <c r="X1" s="173"/>
      <c r="Y1" s="173"/>
      <c r="Z1" s="173"/>
      <c r="AA1" s="177"/>
    </row>
    <row r="2" s="168" customFormat="1" spans="1:27">
      <c r="A2" s="178"/>
      <c r="B2" s="178"/>
      <c r="C2" s="178"/>
      <c r="D2" s="178"/>
      <c r="E2" s="178"/>
      <c r="F2" s="178"/>
      <c r="G2" s="179"/>
      <c r="H2" s="178"/>
      <c r="I2" s="178"/>
      <c r="J2" s="178"/>
      <c r="K2" s="178"/>
      <c r="L2" s="178"/>
      <c r="M2" s="178"/>
      <c r="N2" s="178"/>
      <c r="O2" s="178"/>
      <c r="P2" s="178"/>
      <c r="Q2" s="178"/>
      <c r="R2" s="178"/>
      <c r="S2" s="178"/>
      <c r="T2" s="178"/>
      <c r="U2" s="178"/>
      <c r="V2" s="178"/>
      <c r="W2" s="178"/>
      <c r="X2" s="178"/>
      <c r="Y2" s="178"/>
      <c r="Z2" s="178"/>
      <c r="AA2" s="180"/>
    </row>
    <row r="3" s="168" customFormat="1" spans="1:27">
      <c r="A3" s="181" t="s">
        <v>1</v>
      </c>
      <c r="B3" s="178"/>
      <c r="C3" s="178"/>
      <c r="D3" s="178"/>
      <c r="E3" s="182"/>
      <c r="F3" s="271" t="s">
        <v>2</v>
      </c>
      <c r="G3" s="179"/>
      <c r="H3" s="178"/>
      <c r="I3" s="178"/>
      <c r="J3" s="178"/>
      <c r="K3" s="178"/>
      <c r="L3" s="178"/>
      <c r="M3" s="178"/>
      <c r="N3" s="178"/>
      <c r="O3" s="183" t="s">
        <v>3</v>
      </c>
      <c r="P3" s="178"/>
      <c r="Q3" s="178"/>
      <c r="R3" s="178"/>
      <c r="S3" s="178"/>
      <c r="T3" s="178"/>
      <c r="U3" s="178"/>
      <c r="V3" s="178"/>
      <c r="W3" s="178"/>
      <c r="X3" s="178"/>
      <c r="Y3" s="178"/>
      <c r="Z3" s="178"/>
      <c r="AA3" s="180"/>
    </row>
    <row r="4" s="169" customFormat="1" spans="1:27">
      <c r="A4" s="184"/>
      <c r="B4" s="184"/>
      <c r="C4" s="184"/>
      <c r="D4" s="184"/>
      <c r="E4" s="184"/>
      <c r="F4" s="184"/>
      <c r="G4" s="185"/>
      <c r="H4" s="184"/>
      <c r="I4" s="184"/>
      <c r="J4" s="184"/>
      <c r="K4" s="184"/>
      <c r="L4" s="184"/>
      <c r="M4" s="184"/>
      <c r="N4" s="184"/>
      <c r="O4" s="184"/>
      <c r="P4" s="184"/>
      <c r="Q4" s="184"/>
      <c r="R4" s="184"/>
      <c r="S4" s="184"/>
      <c r="T4" s="184"/>
      <c r="U4" s="184"/>
      <c r="V4" s="184"/>
      <c r="W4" s="184"/>
      <c r="X4" s="184"/>
      <c r="Y4" s="184"/>
      <c r="Z4" s="184"/>
      <c r="AA4" s="186"/>
    </row>
    <row r="5" spans="1:27">
      <c r="A5" s="187"/>
      <c r="B5" s="187"/>
      <c r="C5" s="187"/>
      <c r="D5" s="187"/>
      <c r="E5" s="187"/>
      <c r="F5" s="187"/>
      <c r="G5" s="188"/>
      <c r="H5" s="187"/>
      <c r="I5" s="187"/>
      <c r="J5" s="187"/>
      <c r="K5" s="187"/>
      <c r="L5" s="187"/>
      <c r="M5" s="187"/>
      <c r="N5" s="187"/>
      <c r="O5" s="187" t="str">
        <f>CONCATENATE("Rev ",Licenses!$B$5)</f>
        <v>Rev 1.0.0</v>
      </c>
      <c r="P5" s="189" t="s">
        <v>4</v>
      </c>
      <c r="Q5" s="187"/>
      <c r="R5" s="187"/>
      <c r="S5" s="187"/>
      <c r="T5" s="187"/>
      <c r="U5" s="190"/>
      <c r="V5" s="187"/>
      <c r="W5" s="187"/>
      <c r="X5" s="187"/>
      <c r="Y5" s="187"/>
      <c r="Z5" s="187"/>
      <c r="AA5" s="177"/>
    </row>
    <row r="6" ht="15.75" spans="1:27">
      <c r="A6" s="191" t="s">
        <v>5</v>
      </c>
      <c r="B6" s="187"/>
      <c r="C6" s="187"/>
      <c r="D6" s="187"/>
      <c r="E6" s="187"/>
      <c r="F6" s="187"/>
      <c r="G6" s="188"/>
      <c r="H6" s="187"/>
      <c r="I6" s="187"/>
      <c r="J6" s="187"/>
      <c r="K6" s="187"/>
      <c r="L6" s="187"/>
      <c r="M6" s="187"/>
      <c r="N6" s="187"/>
      <c r="O6" s="187"/>
      <c r="P6" s="187"/>
      <c r="Q6" s="187"/>
      <c r="R6" s="187"/>
      <c r="S6" s="187"/>
      <c r="T6" s="187"/>
      <c r="U6" s="190"/>
      <c r="V6" s="187"/>
      <c r="W6" s="187"/>
      <c r="X6" s="187"/>
      <c r="Y6" s="187"/>
      <c r="Z6" s="187"/>
      <c r="AA6" s="177"/>
    </row>
    <row r="7" ht="16.5" spans="1:27">
      <c r="A7" s="192"/>
      <c r="B7" s="193"/>
      <c r="C7" s="193"/>
      <c r="D7" s="193"/>
      <c r="E7" s="193"/>
      <c r="F7" s="193"/>
      <c r="G7" s="194" t="s">
        <v>6</v>
      </c>
      <c r="H7" s="195">
        <v>3</v>
      </c>
      <c r="I7" s="196" t="s">
        <v>7</v>
      </c>
      <c r="J7" s="187"/>
      <c r="K7" s="187"/>
      <c r="L7" s="187"/>
      <c r="M7" s="187"/>
      <c r="N7" s="187"/>
      <c r="O7" s="187"/>
      <c r="P7" s="187"/>
      <c r="Q7" s="187"/>
      <c r="R7" s="187"/>
      <c r="S7" s="187"/>
      <c r="T7" s="187"/>
      <c r="U7" s="190"/>
      <c r="V7" s="187"/>
      <c r="W7" s="187"/>
      <c r="X7" s="187"/>
      <c r="Y7" s="187"/>
      <c r="Z7" s="187"/>
      <c r="AA7" s="177"/>
    </row>
    <row r="8" ht="16.5" spans="1:27">
      <c r="A8" s="197"/>
      <c r="B8" s="190"/>
      <c r="C8" s="190"/>
      <c r="D8" s="190"/>
      <c r="E8" s="190"/>
      <c r="F8" s="190"/>
      <c r="G8" s="198" t="s">
        <v>8</v>
      </c>
      <c r="H8" s="199">
        <v>4</v>
      </c>
      <c r="I8" s="200" t="s">
        <v>7</v>
      </c>
      <c r="J8" s="187"/>
      <c r="K8" s="187"/>
      <c r="L8" s="187"/>
      <c r="M8" s="187"/>
      <c r="N8" s="187"/>
      <c r="O8" s="187"/>
      <c r="P8" s="187"/>
      <c r="Q8" s="187"/>
      <c r="R8" s="187"/>
      <c r="S8" s="187"/>
      <c r="T8" s="187"/>
      <c r="U8" s="190"/>
      <c r="V8" s="187"/>
      <c r="W8" s="187"/>
      <c r="X8" s="187"/>
      <c r="Y8" s="187"/>
      <c r="Z8" s="187"/>
      <c r="AA8" s="177"/>
    </row>
    <row r="9" ht="16.5" spans="1:27">
      <c r="A9" s="197"/>
      <c r="B9" s="190"/>
      <c r="C9" s="190"/>
      <c r="D9" s="190"/>
      <c r="E9" s="190"/>
      <c r="F9" s="190"/>
      <c r="G9" s="198" t="s">
        <v>9</v>
      </c>
      <c r="H9" s="199">
        <f>4.2*3</f>
        <v>12.6</v>
      </c>
      <c r="I9" s="200" t="s">
        <v>7</v>
      </c>
      <c r="J9" s="187"/>
      <c r="K9" s="187"/>
      <c r="L9" s="187"/>
      <c r="M9" s="187"/>
      <c r="N9" s="187"/>
      <c r="O9" s="187"/>
      <c r="P9" s="187"/>
      <c r="Q9" s="187"/>
      <c r="R9" s="187"/>
      <c r="S9" s="187"/>
      <c r="T9" s="187"/>
      <c r="U9" s="190"/>
      <c r="V9" s="187"/>
      <c r="W9" s="187"/>
      <c r="X9" s="187"/>
      <c r="Y9" s="187"/>
      <c r="Z9" s="187"/>
      <c r="AA9" s="177"/>
    </row>
    <row r="10" ht="16.5" spans="1:27">
      <c r="A10" s="197"/>
      <c r="B10" s="190"/>
      <c r="C10" s="190"/>
      <c r="D10" s="190"/>
      <c r="E10" s="190"/>
      <c r="F10" s="190"/>
      <c r="G10" s="198" t="s">
        <v>10</v>
      </c>
      <c r="H10" s="199">
        <v>10</v>
      </c>
      <c r="I10" s="200" t="s">
        <v>7</v>
      </c>
      <c r="J10" s="187"/>
      <c r="K10" s="187"/>
      <c r="L10" s="187"/>
      <c r="M10" s="187"/>
      <c r="N10" s="187"/>
      <c r="O10" s="187"/>
      <c r="P10" s="187"/>
      <c r="Q10" s="187"/>
      <c r="R10" s="187"/>
      <c r="S10" s="187"/>
      <c r="T10" s="187"/>
      <c r="U10" s="190"/>
      <c r="V10" s="187"/>
      <c r="W10" s="187"/>
      <c r="X10" s="187"/>
      <c r="Y10" s="187"/>
      <c r="Z10" s="187"/>
      <c r="AA10" s="177"/>
    </row>
    <row r="11" ht="16.5" spans="1:27">
      <c r="A11" s="197"/>
      <c r="B11" s="190"/>
      <c r="C11" s="190"/>
      <c r="D11" s="190"/>
      <c r="E11" s="190"/>
      <c r="F11" s="190"/>
      <c r="G11" s="198" t="s">
        <v>11</v>
      </c>
      <c r="H11" s="199">
        <v>2</v>
      </c>
      <c r="I11" s="200" t="s">
        <v>12</v>
      </c>
      <c r="J11" s="187"/>
      <c r="K11" s="187"/>
      <c r="L11" s="187"/>
      <c r="M11" s="187"/>
      <c r="N11" s="187"/>
      <c r="O11" s="187"/>
      <c r="P11" s="187"/>
      <c r="Q11" s="187"/>
      <c r="R11" s="187"/>
      <c r="S11" s="187"/>
      <c r="T11" s="187"/>
      <c r="U11" s="190"/>
      <c r="V11" s="187"/>
      <c r="W11" s="187"/>
      <c r="X11" s="187"/>
      <c r="Y11" s="187"/>
      <c r="Z11" s="187"/>
      <c r="AA11" s="177"/>
    </row>
    <row r="12" ht="16.5" spans="1:27">
      <c r="A12" s="197"/>
      <c r="B12" s="190"/>
      <c r="C12" s="190"/>
      <c r="D12" s="190"/>
      <c r="E12" s="190"/>
      <c r="F12" s="190"/>
      <c r="G12" s="198" t="s">
        <v>13</v>
      </c>
      <c r="H12" s="199">
        <v>700</v>
      </c>
      <c r="I12" s="200" t="s">
        <v>14</v>
      </c>
      <c r="J12" s="187"/>
      <c r="K12" s="187"/>
      <c r="L12" s="187"/>
      <c r="M12" s="187"/>
      <c r="N12" s="187"/>
      <c r="O12" s="187"/>
      <c r="P12" s="187"/>
      <c r="Q12" s="187"/>
      <c r="R12" s="187"/>
      <c r="S12" s="187"/>
      <c r="T12" s="187"/>
      <c r="U12" s="190"/>
      <c r="V12" s="187"/>
      <c r="W12" s="187"/>
      <c r="X12" s="187"/>
      <c r="Y12" s="187"/>
      <c r="Z12" s="187"/>
      <c r="AA12" s="177"/>
    </row>
    <row r="13" ht="16.5" spans="1:27">
      <c r="A13" s="197"/>
      <c r="B13" s="190"/>
      <c r="C13" s="190"/>
      <c r="D13" s="190"/>
      <c r="E13" s="190"/>
      <c r="F13" s="190"/>
      <c r="G13" s="198" t="s">
        <v>15</v>
      </c>
      <c r="H13" s="201">
        <f>RT/1000</f>
        <v>19.4392012767176</v>
      </c>
      <c r="I13" s="200" t="s">
        <v>16</v>
      </c>
      <c r="J13" s="187"/>
      <c r="K13" s="187"/>
      <c r="L13" s="187"/>
      <c r="M13" s="187"/>
      <c r="N13" s="187"/>
      <c r="O13" s="187"/>
      <c r="P13" s="187"/>
      <c r="Q13" s="187"/>
      <c r="R13" s="187"/>
      <c r="S13" s="187"/>
      <c r="T13" s="187"/>
      <c r="U13" s="190"/>
      <c r="V13" s="187"/>
      <c r="W13" s="187"/>
      <c r="X13" s="187"/>
      <c r="Y13" s="187"/>
      <c r="Z13" s="187"/>
      <c r="AA13" s="177"/>
    </row>
    <row r="14" ht="16.5" spans="1:27">
      <c r="A14" s="197"/>
      <c r="B14" s="190"/>
      <c r="C14" s="190"/>
      <c r="D14" s="190"/>
      <c r="E14" s="190"/>
      <c r="F14" s="190"/>
      <c r="G14" s="198" t="s">
        <v>17</v>
      </c>
      <c r="H14" s="202">
        <f>POUT</f>
        <v>20</v>
      </c>
      <c r="I14" s="200" t="s">
        <v>18</v>
      </c>
      <c r="J14" s="187"/>
      <c r="K14" s="187"/>
      <c r="L14" s="187"/>
      <c r="M14" s="187"/>
      <c r="N14" s="187"/>
      <c r="O14" s="187"/>
      <c r="P14" s="187"/>
      <c r="Q14" s="187"/>
      <c r="R14" s="187"/>
      <c r="S14" s="187"/>
      <c r="T14" s="187"/>
      <c r="U14" s="190"/>
      <c r="V14" s="187"/>
      <c r="W14" s="187"/>
      <c r="X14" s="187"/>
      <c r="Y14" s="187"/>
      <c r="Z14" s="187"/>
      <c r="AA14" s="177"/>
    </row>
    <row r="15" ht="16.5" spans="1:27">
      <c r="A15" s="203"/>
      <c r="B15" s="204"/>
      <c r="C15" s="204"/>
      <c r="D15" s="204"/>
      <c r="E15" s="204"/>
      <c r="F15" s="190"/>
      <c r="G15" s="205" t="s">
        <v>19</v>
      </c>
      <c r="H15" s="206">
        <f>Dc_max_IC*100</f>
        <v>97</v>
      </c>
      <c r="I15" s="200" t="s">
        <v>20</v>
      </c>
      <c r="J15" s="187"/>
      <c r="K15" s="187"/>
      <c r="L15" s="187"/>
      <c r="M15" s="187"/>
      <c r="N15" s="187"/>
      <c r="O15" s="187"/>
      <c r="P15" s="187"/>
      <c r="Q15" s="187"/>
      <c r="R15" s="187"/>
      <c r="S15" s="187"/>
      <c r="T15" s="187"/>
      <c r="U15" s="190"/>
      <c r="V15" s="187"/>
      <c r="W15" s="187"/>
      <c r="X15" s="187"/>
      <c r="Y15" s="187"/>
      <c r="Z15" s="187"/>
      <c r="AA15" s="177"/>
    </row>
    <row r="16" ht="17.25" spans="1:27">
      <c r="A16" s="207"/>
      <c r="B16" s="208"/>
      <c r="C16" s="208"/>
      <c r="D16" s="208"/>
      <c r="E16" s="208"/>
      <c r="F16" s="209"/>
      <c r="G16" s="210" t="s">
        <v>21</v>
      </c>
      <c r="H16" s="211">
        <f>Variable_Management!B19*100</f>
        <v>76.9230769230769</v>
      </c>
      <c r="I16" s="212" t="s">
        <v>20</v>
      </c>
      <c r="J16" s="187"/>
      <c r="K16" s="187"/>
      <c r="L16" s="187"/>
      <c r="M16" s="187"/>
      <c r="N16" s="187"/>
      <c r="O16" s="187"/>
      <c r="P16" s="187"/>
      <c r="Q16" s="187"/>
      <c r="R16" s="187"/>
      <c r="S16" s="187"/>
      <c r="T16" s="187"/>
      <c r="U16" s="190"/>
      <c r="V16" s="187"/>
      <c r="W16" s="187"/>
      <c r="X16" s="187"/>
      <c r="Y16" s="187"/>
      <c r="Z16" s="187"/>
      <c r="AA16" s="177"/>
    </row>
    <row r="17" spans="1:27">
      <c r="A17" s="204"/>
      <c r="B17" s="213"/>
      <c r="C17" s="213"/>
      <c r="D17" s="213"/>
      <c r="E17" s="204"/>
      <c r="F17" s="187"/>
      <c r="G17" s="188"/>
      <c r="H17" s="187"/>
      <c r="I17" s="187"/>
      <c r="J17" s="187"/>
      <c r="K17" s="187"/>
      <c r="L17" s="187"/>
      <c r="M17" s="187"/>
      <c r="N17" s="187"/>
      <c r="O17" s="187"/>
      <c r="P17" s="187"/>
      <c r="Q17" s="187"/>
      <c r="R17" s="187"/>
      <c r="S17" s="187"/>
      <c r="T17" s="187"/>
      <c r="U17" s="190"/>
      <c r="V17" s="187"/>
      <c r="W17" s="187"/>
      <c r="X17" s="187"/>
      <c r="Y17" s="187"/>
      <c r="Z17" s="187"/>
      <c r="AA17" s="177"/>
    </row>
    <row r="18" ht="15.75" spans="1:27">
      <c r="A18" s="214" t="s">
        <v>22</v>
      </c>
      <c r="B18" s="213"/>
      <c r="C18" s="213"/>
      <c r="D18" s="213"/>
      <c r="E18" s="204"/>
      <c r="F18" s="187"/>
      <c r="G18" s="188"/>
      <c r="H18" s="187"/>
      <c r="I18" s="187"/>
      <c r="J18" s="187"/>
      <c r="K18" s="187"/>
      <c r="L18" s="187"/>
      <c r="M18" s="187"/>
      <c r="N18" s="187"/>
      <c r="O18" s="187"/>
      <c r="P18" s="187"/>
      <c r="Q18" s="187"/>
      <c r="R18" s="187"/>
      <c r="S18" s="187"/>
      <c r="T18" s="187"/>
      <c r="U18" s="190"/>
      <c r="V18" s="187"/>
      <c r="W18" s="187"/>
      <c r="X18" s="187"/>
      <c r="Y18" s="187"/>
      <c r="Z18" s="187"/>
      <c r="AA18" s="177"/>
    </row>
    <row r="19" spans="1:27">
      <c r="A19" s="215"/>
      <c r="B19" s="216"/>
      <c r="C19" s="216"/>
      <c r="D19" s="216"/>
      <c r="E19" s="216"/>
      <c r="F19" s="193"/>
      <c r="G19" s="217" t="s">
        <v>23</v>
      </c>
      <c r="H19" s="218" t="str">
        <f>IF(Variable_Management!B21=0,"CCM","DCM")</f>
        <v>CCM</v>
      </c>
      <c r="I19" s="196"/>
      <c r="J19" s="187"/>
      <c r="K19" s="187"/>
      <c r="L19" s="187"/>
      <c r="M19" s="187"/>
      <c r="N19" s="187"/>
      <c r="O19" s="187"/>
      <c r="P19" s="187"/>
      <c r="Q19" s="187"/>
      <c r="R19" s="187"/>
      <c r="S19" s="187"/>
      <c r="T19" s="187"/>
      <c r="U19" s="190"/>
      <c r="V19" s="187"/>
      <c r="W19" s="187"/>
      <c r="X19" s="187"/>
      <c r="Y19" s="187"/>
      <c r="Z19" s="187"/>
      <c r="AA19" s="177"/>
    </row>
    <row r="20" ht="16.5" spans="1:27">
      <c r="A20" s="203"/>
      <c r="B20" s="204"/>
      <c r="C20" s="204"/>
      <c r="D20" s="204"/>
      <c r="E20" s="204"/>
      <c r="F20" s="190"/>
      <c r="G20" s="198" t="s">
        <v>24</v>
      </c>
      <c r="H20" s="199">
        <v>10</v>
      </c>
      <c r="I20" s="200" t="s">
        <v>20</v>
      </c>
      <c r="J20" s="187"/>
      <c r="K20" s="187"/>
      <c r="L20" s="187"/>
      <c r="M20" s="187"/>
      <c r="N20" s="187"/>
      <c r="O20" s="187"/>
      <c r="P20" s="187"/>
      <c r="Q20" s="187"/>
      <c r="R20" s="187"/>
      <c r="S20" s="187"/>
      <c r="T20" s="187"/>
      <c r="U20" s="190"/>
      <c r="V20" s="187"/>
      <c r="W20" s="187"/>
      <c r="X20" s="187"/>
      <c r="Y20" s="187"/>
      <c r="Z20" s="187"/>
      <c r="AA20" s="177"/>
    </row>
    <row r="21" ht="16.5" spans="1:27">
      <c r="A21" s="197"/>
      <c r="B21" s="190"/>
      <c r="C21" s="190"/>
      <c r="D21" s="190"/>
      <c r="E21" s="190"/>
      <c r="F21" s="190"/>
      <c r="G21" s="198" t="s">
        <v>25</v>
      </c>
      <c r="H21" s="219">
        <f>Variable_Management!B38*10^6</f>
        <v>4.08163265306122</v>
      </c>
      <c r="I21" s="200" t="s">
        <v>26</v>
      </c>
      <c r="J21" s="187"/>
      <c r="K21" s="187"/>
      <c r="L21" s="187"/>
      <c r="M21" s="187"/>
      <c r="N21" s="187"/>
      <c r="O21" s="187"/>
      <c r="P21" s="187"/>
      <c r="Q21" s="187"/>
      <c r="R21" s="187"/>
      <c r="S21" s="187"/>
      <c r="T21" s="187"/>
      <c r="U21" s="190"/>
      <c r="V21" s="187"/>
      <c r="W21" s="187"/>
      <c r="X21" s="187"/>
      <c r="Y21" s="187"/>
      <c r="Z21" s="187"/>
      <c r="AA21" s="177"/>
    </row>
    <row r="22" ht="16.5" spans="1:27">
      <c r="A22" s="197"/>
      <c r="B22" s="190"/>
      <c r="C22" s="190"/>
      <c r="D22" s="190"/>
      <c r="E22" s="190"/>
      <c r="F22" s="190"/>
      <c r="G22" s="198" t="s">
        <v>27</v>
      </c>
      <c r="H22" s="199">
        <v>4.7</v>
      </c>
      <c r="I22" s="200" t="s">
        <v>26</v>
      </c>
      <c r="J22" s="187"/>
      <c r="K22" s="187"/>
      <c r="L22" s="187"/>
      <c r="M22" s="187"/>
      <c r="N22" s="187"/>
      <c r="O22" s="187"/>
      <c r="P22" s="187"/>
      <c r="Q22" s="187"/>
      <c r="R22" s="187"/>
      <c r="S22" s="187"/>
      <c r="T22" s="187"/>
      <c r="U22" s="190"/>
      <c r="V22" s="187"/>
      <c r="W22" s="187"/>
      <c r="X22" s="187"/>
      <c r="Y22" s="187"/>
      <c r="Z22" s="187"/>
      <c r="AA22" s="177"/>
    </row>
    <row r="23" ht="17.25" spans="1:27">
      <c r="A23" s="220"/>
      <c r="B23" s="209"/>
      <c r="C23" s="209"/>
      <c r="D23" s="209"/>
      <c r="E23" s="209"/>
      <c r="F23" s="209"/>
      <c r="G23" s="221" t="s">
        <v>28</v>
      </c>
      <c r="H23" s="222">
        <f>ISW_peak_VIN_min</f>
        <v>9.3680929000078</v>
      </c>
      <c r="I23" s="212" t="s">
        <v>12</v>
      </c>
      <c r="J23" s="187"/>
      <c r="K23" s="187"/>
      <c r="L23" s="187"/>
      <c r="M23" s="187"/>
      <c r="N23" s="187"/>
      <c r="O23" s="187"/>
      <c r="P23" s="187"/>
      <c r="Q23" s="187"/>
      <c r="R23" s="187"/>
      <c r="S23" s="187"/>
      <c r="T23" s="187"/>
      <c r="U23" s="190"/>
      <c r="V23" s="187"/>
      <c r="W23" s="187"/>
      <c r="X23" s="187"/>
      <c r="Y23" s="187"/>
      <c r="Z23" s="187"/>
      <c r="AA23" s="177"/>
    </row>
    <row r="24" spans="1:27">
      <c r="A24" s="187"/>
      <c r="B24" s="187"/>
      <c r="C24" s="187"/>
      <c r="D24" s="187"/>
      <c r="E24" s="187"/>
      <c r="F24" s="187"/>
      <c r="G24" s="188"/>
      <c r="H24" s="187"/>
      <c r="I24" s="187"/>
      <c r="J24" s="187"/>
      <c r="K24" s="187"/>
      <c r="L24" s="187"/>
      <c r="M24" s="187"/>
      <c r="N24" s="187"/>
      <c r="O24" s="187"/>
      <c r="P24" s="187"/>
      <c r="Q24" s="187"/>
      <c r="R24" s="187"/>
      <c r="S24" s="187"/>
      <c r="T24" s="187"/>
      <c r="U24" s="190"/>
      <c r="V24" s="187"/>
      <c r="W24" s="187"/>
      <c r="X24" s="187"/>
      <c r="Y24" s="187"/>
      <c r="Z24" s="187"/>
      <c r="AA24" s="177"/>
    </row>
    <row r="25" ht="15.75" spans="1:27">
      <c r="A25" s="214" t="s">
        <v>29</v>
      </c>
      <c r="B25" s="187"/>
      <c r="C25" s="187"/>
      <c r="D25" s="187"/>
      <c r="E25" s="187"/>
      <c r="F25" s="187"/>
      <c r="G25" s="188"/>
      <c r="H25" s="187"/>
      <c r="I25" s="187"/>
      <c r="J25" s="187"/>
      <c r="K25" s="187"/>
      <c r="L25" s="187"/>
      <c r="M25" s="187"/>
      <c r="N25" s="187"/>
      <c r="O25" s="187"/>
      <c r="P25" s="187"/>
      <c r="Q25" s="187"/>
      <c r="R25" s="187"/>
      <c r="S25" s="187"/>
      <c r="T25" s="187"/>
      <c r="U25" s="190"/>
      <c r="V25" s="187"/>
      <c r="W25" s="187"/>
      <c r="X25" s="187"/>
      <c r="Y25" s="187"/>
      <c r="Z25" s="187"/>
      <c r="AA25" s="177"/>
    </row>
    <row r="26" spans="1:27">
      <c r="A26" s="192"/>
      <c r="B26" s="193"/>
      <c r="C26" s="193"/>
      <c r="D26" s="193"/>
      <c r="E26" s="193"/>
      <c r="F26" s="193"/>
      <c r="G26" s="194" t="s">
        <v>30</v>
      </c>
      <c r="H26" s="195">
        <v>30</v>
      </c>
      <c r="I26" s="196" t="s">
        <v>20</v>
      </c>
      <c r="J26" s="187"/>
      <c r="K26" s="187"/>
      <c r="L26" s="187"/>
      <c r="M26" s="187"/>
      <c r="N26" s="187"/>
      <c r="O26" s="187"/>
      <c r="P26" s="187"/>
      <c r="Q26" s="187"/>
      <c r="R26" s="187"/>
      <c r="S26" s="187"/>
      <c r="T26" s="187"/>
      <c r="U26" s="190"/>
      <c r="V26" s="187"/>
      <c r="W26" s="187"/>
      <c r="X26" s="187"/>
      <c r="Y26" s="187"/>
      <c r="Z26" s="187"/>
      <c r="AA26" s="177"/>
    </row>
    <row r="27" ht="18.75" spans="1:27">
      <c r="A27" s="197"/>
      <c r="B27" s="190"/>
      <c r="C27" s="190"/>
      <c r="D27" s="190"/>
      <c r="E27" s="190"/>
      <c r="F27" s="190"/>
      <c r="G27" s="223" t="s">
        <v>31</v>
      </c>
      <c r="H27" s="201">
        <f>Ipk_selected</f>
        <v>12.1785207700101</v>
      </c>
      <c r="I27" s="200" t="s">
        <v>12</v>
      </c>
      <c r="J27" s="187"/>
      <c r="K27" s="187"/>
      <c r="L27" s="187"/>
      <c r="M27" s="187"/>
      <c r="N27" s="187"/>
      <c r="O27" s="187"/>
      <c r="P27" s="187"/>
      <c r="Q27" s="187"/>
      <c r="R27" s="187"/>
      <c r="S27" s="187"/>
      <c r="T27" s="187"/>
      <c r="U27" s="190"/>
      <c r="V27" s="187"/>
      <c r="W27" s="187"/>
      <c r="X27" s="187"/>
      <c r="Y27" s="187"/>
      <c r="Z27" s="187"/>
      <c r="AA27" s="177"/>
    </row>
    <row r="28" ht="18.75" spans="1:27">
      <c r="A28" s="197"/>
      <c r="B28" s="190"/>
      <c r="C28" s="190"/>
      <c r="D28" s="190"/>
      <c r="E28" s="190"/>
      <c r="F28" s="190"/>
      <c r="G28" s="223" t="s">
        <v>32</v>
      </c>
      <c r="H28" s="201">
        <f>Variable_Management!B115*1000</f>
        <v>12.8094374469643</v>
      </c>
      <c r="I28" s="200" t="s">
        <v>33</v>
      </c>
      <c r="J28" s="187"/>
      <c r="K28" s="187"/>
      <c r="L28" s="187"/>
      <c r="M28" s="187"/>
      <c r="N28" s="187"/>
      <c r="O28" s="187"/>
      <c r="P28" s="187"/>
      <c r="Q28" s="187"/>
      <c r="R28" s="187"/>
      <c r="S28" s="187"/>
      <c r="T28" s="187"/>
      <c r="U28" s="190"/>
      <c r="V28" s="187"/>
      <c r="W28" s="187"/>
      <c r="X28" s="187"/>
      <c r="Y28" s="187"/>
      <c r="Z28" s="187"/>
      <c r="AA28" s="177"/>
    </row>
    <row r="29" ht="18.75" spans="1:27">
      <c r="A29" s="197"/>
      <c r="B29" s="190"/>
      <c r="C29" s="190"/>
      <c r="D29" s="190"/>
      <c r="E29" s="190"/>
      <c r="F29" s="190"/>
      <c r="G29" s="223" t="s">
        <v>34</v>
      </c>
      <c r="H29" s="224">
        <f>Variable_Management!B116</f>
        <v>0</v>
      </c>
      <c r="I29" s="225" t="s">
        <v>35</v>
      </c>
      <c r="J29" s="187"/>
      <c r="K29" s="187"/>
      <c r="L29" s="187"/>
      <c r="M29" s="187"/>
      <c r="N29" s="187"/>
      <c r="O29" s="187"/>
      <c r="P29" s="187"/>
      <c r="Q29" s="187"/>
      <c r="R29" s="187"/>
      <c r="S29" s="187"/>
      <c r="T29" s="187"/>
      <c r="U29" s="190"/>
      <c r="V29" s="187"/>
      <c r="W29" s="187"/>
      <c r="X29" s="187"/>
      <c r="Y29" s="187"/>
      <c r="Z29" s="187"/>
      <c r="AA29" s="177"/>
    </row>
    <row r="30" ht="18.75" spans="1:27">
      <c r="A30" s="197"/>
      <c r="B30" s="190"/>
      <c r="C30" s="190"/>
      <c r="D30" s="190"/>
      <c r="E30" s="190"/>
      <c r="F30" s="190"/>
      <c r="G30" s="223" t="s">
        <v>36</v>
      </c>
      <c r="H30" s="199">
        <v>10</v>
      </c>
      <c r="I30" s="200" t="s">
        <v>33</v>
      </c>
      <c r="J30" s="187"/>
      <c r="K30" s="187"/>
      <c r="L30" s="187"/>
      <c r="M30" s="187"/>
      <c r="N30" s="187"/>
      <c r="O30" s="187"/>
      <c r="P30" s="187"/>
      <c r="Q30" s="187"/>
      <c r="R30" s="187"/>
      <c r="S30" s="187"/>
      <c r="T30" s="187"/>
      <c r="U30" s="190"/>
      <c r="V30" s="187"/>
      <c r="W30" s="187"/>
      <c r="X30" s="187"/>
      <c r="Y30" s="187"/>
      <c r="Z30" s="187"/>
      <c r="AA30" s="177"/>
    </row>
    <row r="31" ht="18.75" spans="1:27">
      <c r="A31" s="197"/>
      <c r="B31" s="190"/>
      <c r="C31" s="190"/>
      <c r="D31" s="190"/>
      <c r="E31" s="190"/>
      <c r="F31" s="190"/>
      <c r="G31" s="223" t="s">
        <v>37</v>
      </c>
      <c r="H31" s="199">
        <v>0</v>
      </c>
      <c r="I31" s="225" t="s">
        <v>35</v>
      </c>
      <c r="J31" s="187"/>
      <c r="K31" s="187"/>
      <c r="L31" s="187"/>
      <c r="M31" s="187"/>
      <c r="N31" s="187"/>
      <c r="O31" s="187"/>
      <c r="P31" s="187"/>
      <c r="Q31" s="187"/>
      <c r="R31" s="187"/>
      <c r="S31" s="187"/>
      <c r="T31" s="187"/>
      <c r="U31" s="190"/>
      <c r="V31" s="187"/>
      <c r="W31" s="187"/>
      <c r="X31" s="187"/>
      <c r="Y31" s="187"/>
      <c r="Z31" s="187"/>
      <c r="AA31" s="177"/>
    </row>
    <row r="32" ht="15.75" spans="1:27">
      <c r="A32" s="220"/>
      <c r="B32" s="209"/>
      <c r="C32" s="209"/>
      <c r="D32" s="209"/>
      <c r="E32" s="209"/>
      <c r="F32" s="209"/>
      <c r="G32" s="226" t="s">
        <v>38</v>
      </c>
      <c r="H32" s="227">
        <f>IL_pk_max</f>
        <v>15.6</v>
      </c>
      <c r="I32" s="228" t="s">
        <v>12</v>
      </c>
      <c r="J32" s="187"/>
      <c r="K32" s="187"/>
      <c r="L32" s="187"/>
      <c r="M32" s="187"/>
      <c r="N32" s="187"/>
      <c r="O32" s="187"/>
      <c r="P32" s="187"/>
      <c r="Q32" s="187"/>
      <c r="R32" s="187"/>
      <c r="S32" s="187"/>
      <c r="T32" s="187"/>
      <c r="U32" s="190"/>
      <c r="V32" s="187"/>
      <c r="W32" s="187"/>
      <c r="X32" s="187"/>
      <c r="Y32" s="187"/>
      <c r="Z32" s="187"/>
      <c r="AA32" s="177"/>
    </row>
    <row r="33" spans="1:27">
      <c r="A33" s="187"/>
      <c r="B33" s="187"/>
      <c r="C33" s="187"/>
      <c r="D33" s="187"/>
      <c r="E33" s="187"/>
      <c r="F33" s="187"/>
      <c r="G33" s="188"/>
      <c r="H33" s="187"/>
      <c r="I33" s="187"/>
      <c r="J33" s="187"/>
      <c r="K33" s="187"/>
      <c r="L33" s="187"/>
      <c r="M33" s="187"/>
      <c r="N33" s="187"/>
      <c r="O33" s="187"/>
      <c r="P33" s="187"/>
      <c r="Q33" s="187"/>
      <c r="R33" s="187"/>
      <c r="S33" s="187"/>
      <c r="T33" s="187"/>
      <c r="U33" s="190"/>
      <c r="V33" s="187"/>
      <c r="W33" s="187"/>
      <c r="X33" s="187"/>
      <c r="Y33" s="187"/>
      <c r="Z33" s="187"/>
      <c r="AA33" s="177"/>
    </row>
    <row r="34" ht="19.5" spans="1:27">
      <c r="A34" s="214" t="s">
        <v>39</v>
      </c>
      <c r="B34" s="187"/>
      <c r="C34" s="187"/>
      <c r="D34" s="187"/>
      <c r="E34" s="187"/>
      <c r="F34" s="187"/>
      <c r="G34" s="188"/>
      <c r="H34" s="187"/>
      <c r="I34" s="187"/>
      <c r="J34" s="187"/>
      <c r="K34" s="187"/>
      <c r="L34" s="187"/>
      <c r="M34" s="187"/>
      <c r="N34" s="187"/>
      <c r="O34" s="187"/>
      <c r="P34" s="187"/>
      <c r="Q34" s="187"/>
      <c r="R34" s="187"/>
      <c r="S34" s="187"/>
      <c r="T34" s="187"/>
      <c r="U34" s="190"/>
      <c r="V34" s="187"/>
      <c r="W34" s="187"/>
      <c r="X34" s="187"/>
      <c r="Y34" s="187"/>
      <c r="Z34" s="187"/>
      <c r="AA34" s="177"/>
    </row>
    <row r="35" ht="18.75" spans="1:27">
      <c r="A35" s="192"/>
      <c r="B35" s="193"/>
      <c r="C35" s="193"/>
      <c r="D35" s="193"/>
      <c r="E35" s="193"/>
      <c r="F35" s="193"/>
      <c r="G35" s="229" t="s">
        <v>40</v>
      </c>
      <c r="H35" s="230">
        <f>Cac_min*(10^6)</f>
        <v>3.48857491714635</v>
      </c>
      <c r="I35" s="196" t="s">
        <v>41</v>
      </c>
      <c r="J35" s="187"/>
      <c r="K35" s="187"/>
      <c r="L35" s="187"/>
      <c r="M35" s="187"/>
      <c r="N35" s="187"/>
      <c r="O35" s="187"/>
      <c r="P35" s="187"/>
      <c r="Q35" s="187"/>
      <c r="R35" s="187"/>
      <c r="S35" s="187"/>
      <c r="T35" s="187"/>
      <c r="U35" s="190"/>
      <c r="V35" s="187"/>
      <c r="W35" s="187"/>
      <c r="X35" s="187"/>
      <c r="Y35" s="187"/>
      <c r="Z35" s="187"/>
      <c r="AA35" s="177"/>
    </row>
    <row r="36" ht="18.75" spans="1:27">
      <c r="A36" s="197"/>
      <c r="B36" s="190"/>
      <c r="C36" s="190"/>
      <c r="D36" s="190"/>
      <c r="E36" s="190"/>
      <c r="F36" s="190"/>
      <c r="G36" s="223" t="s">
        <v>42</v>
      </c>
      <c r="H36" s="199">
        <v>10</v>
      </c>
      <c r="I36" s="200" t="s">
        <v>41</v>
      </c>
      <c r="J36" s="187"/>
      <c r="K36" s="187"/>
      <c r="L36" s="187"/>
      <c r="M36" s="187"/>
      <c r="N36" s="187"/>
      <c r="O36" s="187"/>
      <c r="P36" s="187"/>
      <c r="Q36" s="187"/>
      <c r="R36" s="187"/>
      <c r="S36" s="187"/>
      <c r="T36" s="187"/>
      <c r="U36" s="190"/>
      <c r="V36" s="187"/>
      <c r="W36" s="187"/>
      <c r="X36" s="187"/>
      <c r="Y36" s="187"/>
      <c r="Z36" s="187"/>
      <c r="AA36" s="177"/>
    </row>
    <row r="37" ht="19.5" spans="1:27">
      <c r="A37" s="220"/>
      <c r="B37" s="209"/>
      <c r="C37" s="209"/>
      <c r="D37" s="209"/>
      <c r="E37" s="209"/>
      <c r="F37" s="209"/>
      <c r="G37" s="226" t="s">
        <v>43</v>
      </c>
      <c r="H37" s="227">
        <f>Variable_Management!B134</f>
        <v>3.65148371670111</v>
      </c>
      <c r="I37" s="212" t="s">
        <v>12</v>
      </c>
      <c r="J37" s="187"/>
      <c r="K37" s="187"/>
      <c r="L37" s="187"/>
      <c r="M37" s="187"/>
      <c r="N37" s="187"/>
      <c r="O37" s="187"/>
      <c r="P37" s="187"/>
      <c r="Q37" s="187"/>
      <c r="R37" s="187"/>
      <c r="S37" s="187"/>
      <c r="T37" s="187"/>
      <c r="U37" s="190"/>
      <c r="V37" s="187"/>
      <c r="W37" s="187"/>
      <c r="X37" s="187"/>
      <c r="Y37" s="187"/>
      <c r="Z37" s="187"/>
      <c r="AA37" s="177"/>
    </row>
    <row r="38" spans="1:27">
      <c r="A38" s="187"/>
      <c r="B38" s="187"/>
      <c r="C38" s="187"/>
      <c r="D38" s="187"/>
      <c r="E38" s="187"/>
      <c r="F38" s="187"/>
      <c r="G38" s="188"/>
      <c r="H38" s="187"/>
      <c r="I38" s="187"/>
      <c r="J38" s="187"/>
      <c r="K38" s="187"/>
      <c r="L38" s="187"/>
      <c r="M38" s="187"/>
      <c r="N38" s="187"/>
      <c r="O38" s="187"/>
      <c r="P38" s="187"/>
      <c r="Q38" s="187"/>
      <c r="R38" s="187"/>
      <c r="S38" s="187"/>
      <c r="T38" s="187"/>
      <c r="U38" s="190"/>
      <c r="V38" s="187"/>
      <c r="W38" s="187"/>
      <c r="X38" s="187"/>
      <c r="Y38" s="187"/>
      <c r="Z38" s="187"/>
      <c r="AA38" s="177"/>
    </row>
    <row r="39" ht="15.75" spans="1:27">
      <c r="A39" s="214" t="s">
        <v>44</v>
      </c>
      <c r="B39" s="187"/>
      <c r="C39" s="187"/>
      <c r="D39" s="187"/>
      <c r="E39" s="187"/>
      <c r="F39" s="187"/>
      <c r="G39" s="188"/>
      <c r="H39" s="187"/>
      <c r="I39" s="187"/>
      <c r="J39" s="187"/>
      <c r="K39" s="187"/>
      <c r="L39" s="187"/>
      <c r="M39" s="187"/>
      <c r="N39" s="187"/>
      <c r="O39" s="187"/>
      <c r="P39" s="187"/>
      <c r="Q39" s="187"/>
      <c r="R39" s="187"/>
      <c r="S39" s="187"/>
      <c r="T39" s="187"/>
      <c r="U39" s="190"/>
      <c r="V39" s="187"/>
      <c r="W39" s="187"/>
      <c r="X39" s="187"/>
      <c r="Y39" s="187"/>
      <c r="Z39" s="187"/>
      <c r="AA39" s="177"/>
    </row>
    <row r="40" ht="18.75" spans="1:27">
      <c r="A40" s="192"/>
      <c r="B40" s="193"/>
      <c r="C40" s="193"/>
      <c r="D40" s="193"/>
      <c r="E40" s="193"/>
      <c r="F40" s="193"/>
      <c r="G40" s="229" t="s">
        <v>45</v>
      </c>
      <c r="H40" s="195">
        <v>500</v>
      </c>
      <c r="I40" s="196" t="s">
        <v>46</v>
      </c>
      <c r="J40" s="187"/>
      <c r="K40" s="187"/>
      <c r="L40" s="187"/>
      <c r="M40" s="187"/>
      <c r="N40" s="187"/>
      <c r="O40" s="187"/>
      <c r="P40" s="187"/>
      <c r="Q40" s="187"/>
      <c r="R40" s="187"/>
      <c r="S40" s="187"/>
      <c r="T40" s="187"/>
      <c r="U40" s="190"/>
      <c r="V40" s="187"/>
      <c r="W40" s="187"/>
      <c r="X40" s="187"/>
      <c r="Y40" s="187"/>
      <c r="Z40" s="187"/>
      <c r="AA40" s="177"/>
    </row>
    <row r="41" spans="1:27">
      <c r="A41" s="197"/>
      <c r="B41" s="190"/>
      <c r="C41" s="190"/>
      <c r="D41" s="190"/>
      <c r="E41" s="190"/>
      <c r="F41" s="190"/>
      <c r="G41" s="223" t="s">
        <v>47</v>
      </c>
      <c r="H41" s="201">
        <f>Cout_min*10^6</f>
        <v>162.933333333333</v>
      </c>
      <c r="I41" s="200" t="s">
        <v>41</v>
      </c>
      <c r="J41" s="187"/>
      <c r="K41" s="187"/>
      <c r="L41" s="187"/>
      <c r="M41" s="187"/>
      <c r="N41" s="187"/>
      <c r="O41" s="187"/>
      <c r="P41" s="187"/>
      <c r="Q41" s="187"/>
      <c r="R41" s="187"/>
      <c r="S41" s="187"/>
      <c r="T41" s="187"/>
      <c r="U41" s="190"/>
      <c r="V41" s="187"/>
      <c r="W41" s="187"/>
      <c r="X41" s="187"/>
      <c r="Y41" s="187"/>
      <c r="Z41" s="187"/>
      <c r="AA41" s="177"/>
    </row>
    <row r="42" ht="18.75" spans="1:27">
      <c r="A42" s="197"/>
      <c r="B42" s="190"/>
      <c r="C42" s="190"/>
      <c r="D42" s="190"/>
      <c r="E42" s="190"/>
      <c r="F42" s="190"/>
      <c r="G42" s="223" t="s">
        <v>48</v>
      </c>
      <c r="H42" s="201">
        <f>IRMS_COUT</f>
        <v>3.65148371670111</v>
      </c>
      <c r="I42" s="200" t="s">
        <v>12</v>
      </c>
      <c r="J42" s="187"/>
      <c r="K42" s="187"/>
      <c r="L42" s="187"/>
      <c r="M42" s="187"/>
      <c r="N42" s="187"/>
      <c r="O42" s="187"/>
      <c r="P42" s="187"/>
      <c r="Q42" s="187"/>
      <c r="R42" s="187"/>
      <c r="S42" s="187"/>
      <c r="T42" s="187"/>
      <c r="U42" s="190"/>
      <c r="V42" s="187"/>
      <c r="W42" s="187"/>
      <c r="X42" s="187"/>
      <c r="Y42" s="187"/>
      <c r="Z42" s="187"/>
      <c r="AA42" s="177"/>
    </row>
    <row r="43" ht="18.75" spans="1:27">
      <c r="A43" s="197"/>
      <c r="B43" s="190"/>
      <c r="C43" s="190"/>
      <c r="D43" s="190"/>
      <c r="E43" s="190"/>
      <c r="F43" s="190"/>
      <c r="G43" s="223" t="s">
        <v>49</v>
      </c>
      <c r="H43" s="199">
        <v>560</v>
      </c>
      <c r="I43" s="200" t="s">
        <v>41</v>
      </c>
      <c r="J43" s="187"/>
      <c r="K43" s="187"/>
      <c r="L43" s="187"/>
      <c r="M43" s="187"/>
      <c r="N43" s="187"/>
      <c r="O43" s="187"/>
      <c r="P43" s="187"/>
      <c r="Q43" s="187"/>
      <c r="R43" s="187"/>
      <c r="S43" s="187"/>
      <c r="T43" s="187"/>
      <c r="U43" s="190"/>
      <c r="V43" s="187"/>
      <c r="W43" s="187"/>
      <c r="X43" s="187"/>
      <c r="Y43" s="187"/>
      <c r="Z43" s="187"/>
      <c r="AA43" s="177"/>
    </row>
    <row r="44" ht="19.5" spans="1:27">
      <c r="A44" s="220"/>
      <c r="B44" s="209"/>
      <c r="C44" s="209"/>
      <c r="D44" s="209"/>
      <c r="E44" s="209"/>
      <c r="F44" s="209"/>
      <c r="G44" s="226" t="s">
        <v>50</v>
      </c>
      <c r="H44" s="231">
        <v>28</v>
      </c>
      <c r="I44" s="212" t="s">
        <v>33</v>
      </c>
      <c r="J44" s="187"/>
      <c r="K44" s="187"/>
      <c r="L44" s="187"/>
      <c r="M44" s="187"/>
      <c r="N44" s="187"/>
      <c r="O44" s="187"/>
      <c r="P44" s="187"/>
      <c r="Q44" s="187"/>
      <c r="R44" s="187"/>
      <c r="S44" s="187"/>
      <c r="T44" s="187"/>
      <c r="U44" s="190"/>
      <c r="V44" s="187"/>
      <c r="W44" s="187"/>
      <c r="X44" s="187"/>
      <c r="Y44" s="187"/>
      <c r="Z44" s="187"/>
      <c r="AA44" s="177"/>
    </row>
    <row r="45" spans="1:27">
      <c r="A45" s="187"/>
      <c r="B45" s="187"/>
      <c r="C45" s="187"/>
      <c r="D45" s="187"/>
      <c r="E45" s="187"/>
      <c r="F45" s="187"/>
      <c r="G45" s="188"/>
      <c r="H45" s="187"/>
      <c r="I45" s="187"/>
      <c r="J45" s="187"/>
      <c r="K45" s="187"/>
      <c r="L45" s="187"/>
      <c r="M45" s="187"/>
      <c r="N45" s="187"/>
      <c r="O45" s="187"/>
      <c r="P45" s="187"/>
      <c r="Q45" s="187"/>
      <c r="R45" s="187"/>
      <c r="S45" s="187"/>
      <c r="T45" s="187"/>
      <c r="U45" s="190"/>
      <c r="V45" s="187"/>
      <c r="W45" s="187"/>
      <c r="X45" s="187"/>
      <c r="Y45" s="187"/>
      <c r="Z45" s="187"/>
      <c r="AA45" s="177"/>
    </row>
    <row r="46" spans="1:27">
      <c r="A46" s="214"/>
      <c r="B46" s="190"/>
      <c r="C46" s="190"/>
      <c r="D46" s="190"/>
      <c r="E46" s="190"/>
      <c r="F46" s="190"/>
      <c r="G46" s="223"/>
      <c r="H46" s="190"/>
      <c r="I46" s="190"/>
      <c r="J46" s="190"/>
      <c r="K46" s="187"/>
      <c r="L46" s="187"/>
      <c r="M46" s="187"/>
      <c r="N46" s="187"/>
      <c r="O46" s="187"/>
      <c r="P46" s="187"/>
      <c r="Q46" s="187"/>
      <c r="R46" s="187"/>
      <c r="S46" s="187"/>
      <c r="T46" s="187"/>
      <c r="U46" s="190"/>
      <c r="V46" s="187"/>
      <c r="W46" s="187"/>
      <c r="X46" s="187"/>
      <c r="Y46" s="187"/>
      <c r="Z46" s="187"/>
      <c r="AA46" s="177"/>
    </row>
    <row r="47" spans="1:27">
      <c r="A47" s="190"/>
      <c r="B47" s="190"/>
      <c r="C47" s="190"/>
      <c r="D47" s="190"/>
      <c r="E47" s="190"/>
      <c r="F47" s="190"/>
      <c r="G47" s="223"/>
      <c r="H47" s="232"/>
      <c r="I47" s="190"/>
      <c r="J47" s="190"/>
      <c r="K47" s="187"/>
      <c r="L47" s="187"/>
      <c r="M47" s="187"/>
      <c r="N47" s="187"/>
      <c r="O47" s="187"/>
      <c r="P47" s="187"/>
      <c r="Q47" s="187"/>
      <c r="R47" s="187"/>
      <c r="S47" s="187"/>
      <c r="T47" s="187"/>
      <c r="U47" s="190"/>
      <c r="V47" s="187"/>
      <c r="W47" s="187"/>
      <c r="X47" s="187"/>
      <c r="Y47" s="187"/>
      <c r="Z47" s="187"/>
      <c r="AA47" s="177"/>
    </row>
    <row r="48" spans="1:27">
      <c r="A48" s="190"/>
      <c r="B48" s="190"/>
      <c r="C48" s="190"/>
      <c r="D48" s="190"/>
      <c r="E48" s="190"/>
      <c r="F48" s="190"/>
      <c r="G48" s="223"/>
      <c r="H48" s="190"/>
      <c r="I48" s="190"/>
      <c r="J48" s="190"/>
      <c r="K48" s="187"/>
      <c r="L48" s="187"/>
      <c r="M48" s="187"/>
      <c r="N48" s="187"/>
      <c r="O48" s="187"/>
      <c r="P48" s="187"/>
      <c r="Q48" s="187"/>
      <c r="R48" s="187"/>
      <c r="S48" s="187"/>
      <c r="T48" s="187"/>
      <c r="U48" s="190"/>
      <c r="V48" s="187"/>
      <c r="W48" s="187"/>
      <c r="X48" s="187"/>
      <c r="Y48" s="187"/>
      <c r="Z48" s="187"/>
      <c r="AA48" s="177"/>
    </row>
    <row r="49" spans="1:27">
      <c r="A49" s="190"/>
      <c r="B49" s="190"/>
      <c r="C49" s="190"/>
      <c r="D49" s="190"/>
      <c r="E49" s="190"/>
      <c r="F49" s="190"/>
      <c r="G49" s="223"/>
      <c r="H49" s="233"/>
      <c r="I49" s="190"/>
      <c r="J49" s="190"/>
      <c r="K49" s="187"/>
      <c r="L49" s="187"/>
      <c r="M49" s="187"/>
      <c r="N49" s="187"/>
      <c r="O49" s="187"/>
      <c r="P49" s="187"/>
      <c r="Q49" s="187"/>
      <c r="R49" s="187"/>
      <c r="S49" s="187"/>
      <c r="T49" s="187"/>
      <c r="U49" s="190"/>
      <c r="V49" s="187"/>
      <c r="W49" s="187"/>
      <c r="X49" s="187"/>
      <c r="Y49" s="187"/>
      <c r="Z49" s="187"/>
      <c r="AA49" s="177"/>
    </row>
    <row r="50" spans="1:27">
      <c r="A50" s="190"/>
      <c r="B50" s="190"/>
      <c r="C50" s="190"/>
      <c r="D50" s="190"/>
      <c r="E50" s="190"/>
      <c r="F50" s="190"/>
      <c r="G50" s="223"/>
      <c r="H50" s="190"/>
      <c r="I50" s="190"/>
      <c r="J50" s="187"/>
      <c r="K50" s="187"/>
      <c r="L50" s="187"/>
      <c r="M50" s="187"/>
      <c r="N50" s="187"/>
      <c r="O50" s="187"/>
      <c r="P50" s="187"/>
      <c r="Q50" s="187"/>
      <c r="R50" s="187"/>
      <c r="S50" s="187"/>
      <c r="T50" s="187"/>
      <c r="U50" s="190"/>
      <c r="V50" s="187"/>
      <c r="W50" s="187"/>
      <c r="X50" s="187"/>
      <c r="Y50" s="187"/>
      <c r="Z50" s="187"/>
      <c r="AA50" s="177"/>
    </row>
    <row r="51" spans="1:27">
      <c r="A51" s="214"/>
      <c r="B51" s="190"/>
      <c r="C51" s="190"/>
      <c r="D51" s="190"/>
      <c r="E51" s="190"/>
      <c r="F51" s="190"/>
      <c r="G51" s="223"/>
      <c r="H51" s="190"/>
      <c r="I51" s="190"/>
      <c r="J51" s="187"/>
      <c r="K51" s="187"/>
      <c r="L51" s="187"/>
      <c r="M51" s="187"/>
      <c r="N51" s="187"/>
      <c r="O51" s="187"/>
      <c r="P51" s="187"/>
      <c r="Q51" s="187"/>
      <c r="R51" s="187"/>
      <c r="S51" s="187"/>
      <c r="T51" s="187"/>
      <c r="U51" s="190"/>
      <c r="V51" s="187"/>
      <c r="W51" s="187"/>
      <c r="X51" s="187"/>
      <c r="Y51" s="187"/>
      <c r="Z51" s="187"/>
      <c r="AA51" s="177"/>
    </row>
    <row r="52" spans="1:27">
      <c r="A52" s="190"/>
      <c r="B52" s="190"/>
      <c r="C52" s="190"/>
      <c r="D52" s="190"/>
      <c r="E52" s="190"/>
      <c r="F52" s="190"/>
      <c r="G52" s="223"/>
      <c r="H52" s="190"/>
      <c r="I52" s="190"/>
      <c r="J52" s="187"/>
      <c r="K52" s="187"/>
      <c r="L52" s="187"/>
      <c r="M52" s="187"/>
      <c r="N52" s="187"/>
      <c r="O52" s="187"/>
      <c r="P52" s="187"/>
      <c r="Q52" s="187"/>
      <c r="R52" s="187"/>
      <c r="S52" s="187"/>
      <c r="T52" s="187"/>
      <c r="U52" s="190"/>
      <c r="V52" s="187"/>
      <c r="W52" s="187"/>
      <c r="X52" s="187"/>
      <c r="Y52" s="187"/>
      <c r="Z52" s="187"/>
      <c r="AA52" s="177"/>
    </row>
    <row r="53" spans="1:27">
      <c r="A53" s="190"/>
      <c r="B53" s="190"/>
      <c r="C53" s="190"/>
      <c r="D53" s="190"/>
      <c r="E53" s="190"/>
      <c r="F53" s="190"/>
      <c r="G53" s="223"/>
      <c r="H53" s="190"/>
      <c r="I53" s="190"/>
      <c r="J53" s="187"/>
      <c r="K53" s="187"/>
      <c r="L53" s="187"/>
      <c r="M53" s="187"/>
      <c r="N53" s="187"/>
      <c r="O53" s="187"/>
      <c r="P53" s="187"/>
      <c r="Q53" s="234">
        <f>VIN_min</f>
        <v>3</v>
      </c>
      <c r="R53" s="187"/>
      <c r="S53" s="187"/>
      <c r="T53" s="187"/>
      <c r="U53" s="190"/>
      <c r="V53" s="187"/>
      <c r="W53" s="187"/>
      <c r="X53" s="187"/>
      <c r="Y53" s="187"/>
      <c r="Z53" s="187"/>
      <c r="AA53" s="177"/>
    </row>
    <row r="54" spans="1:27">
      <c r="A54" s="190"/>
      <c r="B54" s="190"/>
      <c r="C54" s="190"/>
      <c r="D54" s="190"/>
      <c r="E54" s="190"/>
      <c r="F54" s="190"/>
      <c r="G54" s="223"/>
      <c r="H54" s="232"/>
      <c r="I54" s="235"/>
      <c r="J54" s="187"/>
      <c r="K54" s="187"/>
      <c r="L54" s="187"/>
      <c r="M54" s="187"/>
      <c r="N54" s="187"/>
      <c r="O54" s="187"/>
      <c r="P54" s="187"/>
      <c r="Q54" s="187"/>
      <c r="R54" s="187"/>
      <c r="S54" s="187"/>
      <c r="T54" s="187"/>
      <c r="U54" s="190"/>
      <c r="V54" s="187"/>
      <c r="W54" s="187"/>
      <c r="X54" s="187"/>
      <c r="Y54" s="187"/>
      <c r="Z54" s="187"/>
      <c r="AA54" s="177"/>
    </row>
    <row r="55" spans="1:27">
      <c r="A55" s="190"/>
      <c r="B55" s="190"/>
      <c r="C55" s="190"/>
      <c r="D55" s="190"/>
      <c r="E55" s="190"/>
      <c r="F55" s="190"/>
      <c r="G55" s="223"/>
      <c r="H55" s="190"/>
      <c r="I55" s="235"/>
      <c r="J55" s="187"/>
      <c r="K55" s="187"/>
      <c r="L55" s="187"/>
      <c r="M55" s="187"/>
      <c r="N55" s="187"/>
      <c r="O55" s="187"/>
      <c r="P55" s="187"/>
      <c r="Q55" s="187"/>
      <c r="R55" s="187"/>
      <c r="S55" s="187"/>
      <c r="T55" s="187"/>
      <c r="U55" s="190"/>
      <c r="V55" s="187"/>
      <c r="W55" s="187"/>
      <c r="X55" s="187"/>
      <c r="Y55" s="187"/>
      <c r="Z55" s="187"/>
      <c r="AA55" s="177"/>
    </row>
    <row r="56" spans="1:27">
      <c r="A56" s="190"/>
      <c r="B56" s="190"/>
      <c r="C56" s="190"/>
      <c r="D56" s="190"/>
      <c r="E56" s="190"/>
      <c r="F56" s="190"/>
      <c r="G56" s="223"/>
      <c r="H56" s="236"/>
      <c r="I56" s="235"/>
      <c r="J56" s="187"/>
      <c r="K56" s="187"/>
      <c r="L56" s="187"/>
      <c r="M56" s="187"/>
      <c r="N56" s="187"/>
      <c r="O56" s="187"/>
      <c r="P56" s="187"/>
      <c r="Q56" s="187"/>
      <c r="R56" s="187"/>
      <c r="S56" s="187"/>
      <c r="T56" s="187"/>
      <c r="U56" s="190"/>
      <c r="V56" s="187"/>
      <c r="W56" s="187"/>
      <c r="X56" s="187"/>
      <c r="Y56" s="187"/>
      <c r="Z56" s="187"/>
      <c r="AA56" s="177"/>
    </row>
    <row r="57" spans="1:27">
      <c r="A57" s="190"/>
      <c r="B57" s="190"/>
      <c r="C57" s="190"/>
      <c r="D57" s="190"/>
      <c r="E57" s="190"/>
      <c r="F57" s="190"/>
      <c r="G57" s="223"/>
      <c r="H57" s="190"/>
      <c r="I57" s="190"/>
      <c r="J57" s="187"/>
      <c r="K57" s="187"/>
      <c r="L57" s="187"/>
      <c r="M57" s="187"/>
      <c r="N57" s="187"/>
      <c r="O57" s="187"/>
      <c r="P57" s="187"/>
      <c r="Q57" s="187"/>
      <c r="R57" s="187"/>
      <c r="S57" s="187"/>
      <c r="T57" s="187"/>
      <c r="U57" s="190"/>
      <c r="V57" s="187"/>
      <c r="W57" s="187"/>
      <c r="X57" s="187"/>
      <c r="Y57" s="187"/>
      <c r="Z57" s="187"/>
      <c r="AA57" s="177"/>
    </row>
    <row r="58" ht="15.75" spans="1:27">
      <c r="A58" s="214" t="s">
        <v>51</v>
      </c>
      <c r="B58" s="187"/>
      <c r="C58" s="187"/>
      <c r="D58" s="187"/>
      <c r="E58" s="187"/>
      <c r="F58" s="187"/>
      <c r="G58" s="187"/>
      <c r="H58" s="187"/>
      <c r="I58" s="187"/>
      <c r="J58" s="187"/>
      <c r="K58" s="187"/>
      <c r="L58" s="187"/>
      <c r="M58" s="187"/>
      <c r="N58" s="187"/>
      <c r="O58" s="187"/>
      <c r="P58" s="187"/>
      <c r="Q58" s="187"/>
      <c r="R58" s="187"/>
      <c r="S58" s="187"/>
      <c r="T58" s="187"/>
      <c r="U58" s="190"/>
      <c r="V58" s="187"/>
      <c r="W58" s="187"/>
      <c r="X58" s="187"/>
      <c r="Y58" s="187"/>
      <c r="Z58" s="187"/>
      <c r="AA58" s="177"/>
    </row>
    <row r="59" ht="18.75" spans="1:27">
      <c r="A59" s="215"/>
      <c r="B59" s="193"/>
      <c r="C59" s="193"/>
      <c r="D59" s="193"/>
      <c r="E59" s="193"/>
      <c r="F59" s="193"/>
      <c r="G59" s="237" t="s">
        <v>52</v>
      </c>
      <c r="H59" s="238" t="str">
        <f>VIN_var&amp;"V"</f>
        <v>4V</v>
      </c>
      <c r="I59" s="196"/>
      <c r="J59" s="187"/>
      <c r="K59" s="187"/>
      <c r="L59" s="187"/>
      <c r="M59" s="187"/>
      <c r="N59" s="187"/>
      <c r="O59" s="187"/>
      <c r="P59" s="187"/>
      <c r="Q59" s="187"/>
      <c r="R59" s="187"/>
      <c r="S59" s="187"/>
      <c r="T59" s="187"/>
      <c r="U59" s="190"/>
      <c r="V59" s="187"/>
      <c r="W59" s="187"/>
      <c r="X59" s="187"/>
      <c r="Y59" s="187"/>
      <c r="Z59" s="187"/>
      <c r="AA59" s="177"/>
    </row>
    <row r="60" spans="1:27">
      <c r="A60" s="197"/>
      <c r="B60" s="190"/>
      <c r="C60" s="190"/>
      <c r="D60" s="190"/>
      <c r="E60" s="190"/>
      <c r="F60" s="190"/>
      <c r="G60" s="190"/>
      <c r="H60" s="239"/>
      <c r="I60" s="200"/>
      <c r="J60" s="187"/>
      <c r="K60" s="187"/>
      <c r="L60" s="187"/>
      <c r="M60" s="187"/>
      <c r="N60" s="187"/>
      <c r="O60" s="187"/>
      <c r="P60" s="187"/>
      <c r="Q60" s="187"/>
      <c r="R60" s="187"/>
      <c r="S60" s="187"/>
      <c r="T60" s="187"/>
      <c r="U60" s="190"/>
      <c r="V60" s="187"/>
      <c r="W60" s="187"/>
      <c r="X60" s="187"/>
      <c r="Y60" s="187"/>
      <c r="Z60" s="187"/>
      <c r="AA60" s="177"/>
    </row>
    <row r="61" spans="1:27">
      <c r="A61" s="240"/>
      <c r="B61" s="190"/>
      <c r="C61" s="190"/>
      <c r="D61" s="190"/>
      <c r="E61" s="190"/>
      <c r="F61" s="190"/>
      <c r="G61" s="241" t="s">
        <v>53</v>
      </c>
      <c r="H61" s="202"/>
      <c r="I61" s="200"/>
      <c r="J61" s="187"/>
      <c r="K61" s="187"/>
      <c r="L61" s="187"/>
      <c r="M61" s="187"/>
      <c r="N61" s="187"/>
      <c r="O61" s="187"/>
      <c r="P61" s="187"/>
      <c r="Q61" s="187"/>
      <c r="R61" s="187"/>
      <c r="S61" s="187"/>
      <c r="T61" s="187"/>
      <c r="U61" s="190"/>
      <c r="V61" s="187"/>
      <c r="W61" s="187"/>
      <c r="X61" s="187"/>
      <c r="Y61" s="187"/>
      <c r="Z61" s="187"/>
      <c r="AA61" s="177"/>
    </row>
    <row r="62" ht="18.75" spans="1:27">
      <c r="A62" s="240"/>
      <c r="B62" s="190"/>
      <c r="C62" s="190"/>
      <c r="D62" s="190"/>
      <c r="E62" s="190"/>
      <c r="F62" s="190"/>
      <c r="G62" s="223" t="s">
        <v>54</v>
      </c>
      <c r="H62" s="199">
        <v>15</v>
      </c>
      <c r="I62" s="225" t="s">
        <v>55</v>
      </c>
      <c r="J62" s="187"/>
      <c r="K62" s="187"/>
      <c r="L62" s="187"/>
      <c r="M62" s="187"/>
      <c r="N62" s="187"/>
      <c r="O62" s="187"/>
      <c r="P62" s="187"/>
      <c r="Q62" s="187"/>
      <c r="R62" s="187"/>
      <c r="S62" s="187"/>
      <c r="T62" s="187"/>
      <c r="U62" s="190"/>
      <c r="V62" s="187"/>
      <c r="W62" s="187"/>
      <c r="X62" s="187"/>
      <c r="Y62" s="187"/>
      <c r="Z62" s="187"/>
      <c r="AA62" s="177"/>
    </row>
    <row r="63" ht="18.75" spans="1:27">
      <c r="A63" s="240"/>
      <c r="B63" s="190"/>
      <c r="C63" s="190"/>
      <c r="D63" s="190"/>
      <c r="E63" s="190"/>
      <c r="F63" s="190"/>
      <c r="G63" s="223" t="s">
        <v>56</v>
      </c>
      <c r="H63" s="219">
        <f>RFBB_calc/1000</f>
        <v>2.16247139588101</v>
      </c>
      <c r="I63" s="225" t="s">
        <v>55</v>
      </c>
      <c r="J63" s="187"/>
      <c r="K63" s="187"/>
      <c r="L63" s="187"/>
      <c r="M63" s="187"/>
      <c r="N63" s="187"/>
      <c r="O63" s="187"/>
      <c r="P63" s="187"/>
      <c r="Q63" s="187"/>
      <c r="R63" s="187"/>
      <c r="S63" s="187"/>
      <c r="T63" s="187"/>
      <c r="U63" s="190"/>
      <c r="V63" s="187"/>
      <c r="W63" s="187"/>
      <c r="X63" s="187"/>
      <c r="Y63" s="187"/>
      <c r="Z63" s="187"/>
      <c r="AA63" s="177"/>
    </row>
    <row r="64" ht="18.75" spans="1:27">
      <c r="A64" s="240"/>
      <c r="B64" s="190"/>
      <c r="C64" s="190"/>
      <c r="D64" s="190"/>
      <c r="E64" s="190"/>
      <c r="F64" s="190"/>
      <c r="G64" s="223" t="s">
        <v>57</v>
      </c>
      <c r="H64" s="199">
        <v>2.16</v>
      </c>
      <c r="I64" s="225" t="s">
        <v>55</v>
      </c>
      <c r="J64" s="187"/>
      <c r="K64" s="187"/>
      <c r="L64" s="187"/>
      <c r="M64" s="187"/>
      <c r="N64" s="187"/>
      <c r="O64" s="187"/>
      <c r="P64" s="187"/>
      <c r="Q64" s="187"/>
      <c r="R64" s="187"/>
      <c r="S64" s="187"/>
      <c r="T64" s="187"/>
      <c r="U64" s="190"/>
      <c r="V64" s="187"/>
      <c r="W64" s="187"/>
      <c r="X64" s="187"/>
      <c r="Y64" s="187"/>
      <c r="Z64" s="187"/>
      <c r="AA64" s="177"/>
    </row>
    <row r="65" spans="1:27">
      <c r="A65" s="197"/>
      <c r="B65" s="190"/>
      <c r="C65" s="190"/>
      <c r="D65" s="190"/>
      <c r="E65" s="190"/>
      <c r="F65" s="190"/>
      <c r="G65" s="223"/>
      <c r="H65" s="202"/>
      <c r="I65" s="200"/>
      <c r="J65" s="187"/>
      <c r="K65" s="187"/>
      <c r="L65" s="187"/>
      <c r="M65" s="187"/>
      <c r="N65" s="187"/>
      <c r="O65" s="187"/>
      <c r="P65" s="187"/>
      <c r="Q65" s="187"/>
      <c r="R65" s="187"/>
      <c r="S65" s="187"/>
      <c r="T65" s="187"/>
      <c r="U65" s="190"/>
      <c r="V65" s="187"/>
      <c r="W65" s="187"/>
      <c r="X65" s="187"/>
      <c r="Y65" s="187"/>
      <c r="Z65" s="187"/>
      <c r="AA65" s="177"/>
    </row>
    <row r="66" spans="1:27">
      <c r="A66" s="197"/>
      <c r="B66" s="190"/>
      <c r="C66" s="190"/>
      <c r="D66" s="190"/>
      <c r="E66" s="190"/>
      <c r="F66" s="190"/>
      <c r="G66" s="223"/>
      <c r="H66" s="202"/>
      <c r="I66" s="200"/>
      <c r="J66" s="187"/>
      <c r="K66" s="187"/>
      <c r="L66" s="187"/>
      <c r="M66" s="187"/>
      <c r="N66" s="187"/>
      <c r="O66" s="187"/>
      <c r="P66" s="187"/>
      <c r="Q66" s="187"/>
      <c r="R66" s="187"/>
      <c r="S66" s="187"/>
      <c r="T66" s="187"/>
      <c r="U66" s="190"/>
      <c r="V66" s="187"/>
      <c r="W66" s="187"/>
      <c r="X66" s="187"/>
      <c r="Y66" s="187"/>
      <c r="Z66" s="187"/>
      <c r="AA66" s="177"/>
    </row>
    <row r="67" spans="1:27">
      <c r="A67" s="197"/>
      <c r="B67" s="190"/>
      <c r="C67" s="190"/>
      <c r="D67" s="190"/>
      <c r="E67" s="190"/>
      <c r="F67" s="190"/>
      <c r="G67" s="223" t="s">
        <v>58</v>
      </c>
      <c r="H67" s="242">
        <f>fcross_est/1000</f>
        <v>1.95362041438497</v>
      </c>
      <c r="I67" s="200" t="s">
        <v>14</v>
      </c>
      <c r="J67" s="187"/>
      <c r="K67" s="187"/>
      <c r="L67" s="187"/>
      <c r="M67" s="187"/>
      <c r="N67" s="187"/>
      <c r="O67" s="187"/>
      <c r="P67" s="187"/>
      <c r="Q67" s="187"/>
      <c r="R67" s="187"/>
      <c r="S67" s="187"/>
      <c r="T67" s="187"/>
      <c r="U67" s="190"/>
      <c r="V67" s="187"/>
      <c r="W67" s="187"/>
      <c r="X67" s="187"/>
      <c r="Y67" s="187"/>
      <c r="Z67" s="187"/>
      <c r="AA67" s="177"/>
    </row>
    <row r="68" ht="18.75" spans="1:27">
      <c r="A68" s="197"/>
      <c r="B68" s="190"/>
      <c r="C68" s="190"/>
      <c r="D68" s="190"/>
      <c r="E68" s="190"/>
      <c r="F68" s="190"/>
      <c r="G68" s="223" t="s">
        <v>59</v>
      </c>
      <c r="H68" s="199">
        <v>0.7</v>
      </c>
      <c r="I68" s="200" t="s">
        <v>14</v>
      </c>
      <c r="J68" s="187"/>
      <c r="K68" s="187"/>
      <c r="L68" s="187"/>
      <c r="M68" s="187"/>
      <c r="N68" s="187"/>
      <c r="O68" s="187"/>
      <c r="P68" s="187"/>
      <c r="Q68" s="187"/>
      <c r="R68" s="187"/>
      <c r="S68" s="187"/>
      <c r="T68" s="187"/>
      <c r="U68" s="190"/>
      <c r="V68" s="187"/>
      <c r="W68" s="187"/>
      <c r="X68" s="187"/>
      <c r="Y68" s="187"/>
      <c r="Z68" s="187"/>
      <c r="AA68" s="177"/>
    </row>
    <row r="69" spans="1:27">
      <c r="A69" s="197"/>
      <c r="B69" s="190"/>
      <c r="C69" s="190"/>
      <c r="D69" s="190"/>
      <c r="E69" s="190"/>
      <c r="F69" s="190"/>
      <c r="G69" s="223"/>
      <c r="H69" s="202"/>
      <c r="I69" s="200"/>
      <c r="J69" s="187"/>
      <c r="K69" s="187"/>
      <c r="L69" s="187"/>
      <c r="M69" s="187"/>
      <c r="N69" s="187"/>
      <c r="O69" s="187"/>
      <c r="P69" s="187"/>
      <c r="Q69" s="187"/>
      <c r="R69" s="187"/>
      <c r="S69" s="187"/>
      <c r="T69" s="187"/>
      <c r="U69" s="190"/>
      <c r="V69" s="187"/>
      <c r="W69" s="187"/>
      <c r="X69" s="187"/>
      <c r="Y69" s="187"/>
      <c r="Z69" s="187"/>
      <c r="AA69" s="177"/>
    </row>
    <row r="70" ht="15.75" spans="1:27">
      <c r="A70" s="197"/>
      <c r="B70" s="190"/>
      <c r="C70" s="190"/>
      <c r="D70" s="190"/>
      <c r="E70" s="190"/>
      <c r="F70" s="243" t="s">
        <v>60</v>
      </c>
      <c r="G70" s="243"/>
      <c r="H70" s="244" t="s">
        <v>61</v>
      </c>
      <c r="I70" s="245"/>
      <c r="J70" s="187"/>
      <c r="K70" s="187"/>
      <c r="L70" s="187"/>
      <c r="M70" s="187"/>
      <c r="N70" s="187"/>
      <c r="O70" s="187"/>
      <c r="P70" s="187"/>
      <c r="Q70" s="187"/>
      <c r="R70" s="187"/>
      <c r="S70" s="187"/>
      <c r="T70" s="187"/>
      <c r="U70" s="190"/>
      <c r="V70" s="187"/>
      <c r="W70" s="187"/>
      <c r="X70" s="187"/>
      <c r="Y70" s="187"/>
      <c r="Z70" s="187"/>
      <c r="AA70" s="177"/>
    </row>
    <row r="71" ht="19.5" spans="1:27">
      <c r="A71" s="197"/>
      <c r="B71" s="190"/>
      <c r="C71" s="190"/>
      <c r="D71" s="190"/>
      <c r="E71" s="223" t="s">
        <v>62</v>
      </c>
      <c r="F71" s="246">
        <f>RCOMP_Calc/1000</f>
        <v>1.17648119949247</v>
      </c>
      <c r="G71" s="247" t="s">
        <v>55</v>
      </c>
      <c r="H71" s="248">
        <v>2.5</v>
      </c>
      <c r="I71" s="225" t="s">
        <v>55</v>
      </c>
      <c r="J71" s="187"/>
      <c r="K71" s="187"/>
      <c r="L71" s="187"/>
      <c r="M71" s="187"/>
      <c r="N71" s="187"/>
      <c r="O71" s="187"/>
      <c r="P71" s="187"/>
      <c r="Q71" s="187"/>
      <c r="R71" s="187"/>
      <c r="S71" s="187"/>
      <c r="T71" s="187"/>
      <c r="U71" s="190"/>
      <c r="V71" s="187"/>
      <c r="W71" s="187"/>
      <c r="X71" s="187"/>
      <c r="Y71" s="187"/>
      <c r="Z71" s="187"/>
      <c r="AA71" s="177"/>
    </row>
    <row r="72" ht="19.5" spans="1:27">
      <c r="A72" s="197"/>
      <c r="B72" s="190"/>
      <c r="C72" s="190"/>
      <c r="D72" s="190"/>
      <c r="E72" s="223" t="s">
        <v>63</v>
      </c>
      <c r="F72" s="249">
        <f>CCOMP_Calc*(10^9)</f>
        <v>509.873954981757</v>
      </c>
      <c r="G72" s="247" t="s">
        <v>64</v>
      </c>
      <c r="H72" s="248">
        <v>220</v>
      </c>
      <c r="I72" s="200" t="s">
        <v>64</v>
      </c>
      <c r="J72" s="187"/>
      <c r="K72" s="187"/>
      <c r="L72" s="187"/>
      <c r="M72" s="187"/>
      <c r="N72" s="187"/>
      <c r="O72" s="187"/>
      <c r="P72" s="187"/>
      <c r="Q72" s="187"/>
      <c r="R72" s="187"/>
      <c r="S72" s="187"/>
      <c r="T72" s="187"/>
      <c r="U72" s="190"/>
      <c r="V72" s="187"/>
      <c r="W72" s="187"/>
      <c r="X72" s="187"/>
      <c r="Y72" s="187"/>
      <c r="Z72" s="187"/>
      <c r="AA72" s="177"/>
    </row>
    <row r="73" ht="19.5" spans="1:27">
      <c r="A73" s="220"/>
      <c r="B73" s="209"/>
      <c r="C73" s="209"/>
      <c r="D73" s="209"/>
      <c r="E73" s="226" t="s">
        <v>65</v>
      </c>
      <c r="F73" s="250">
        <f>CHF_calc*(10^12)</f>
        <v>11541.0070162066</v>
      </c>
      <c r="G73" s="251" t="s">
        <v>66</v>
      </c>
      <c r="H73" s="231">
        <v>4700</v>
      </c>
      <c r="I73" s="212" t="s">
        <v>66</v>
      </c>
      <c r="J73" s="187"/>
      <c r="K73" s="187"/>
      <c r="L73" s="187"/>
      <c r="M73" s="187"/>
      <c r="N73" s="187"/>
      <c r="O73" s="187"/>
      <c r="P73" s="187"/>
      <c r="Q73" s="187"/>
      <c r="R73" s="187"/>
      <c r="S73" s="187"/>
      <c r="T73" s="187"/>
      <c r="U73" s="190"/>
      <c r="V73" s="187"/>
      <c r="W73" s="187"/>
      <c r="X73" s="187"/>
      <c r="Y73" s="187"/>
      <c r="Z73" s="187"/>
      <c r="AA73" s="177"/>
    </row>
    <row r="74" spans="1:27">
      <c r="A74" s="187"/>
      <c r="B74" s="187"/>
      <c r="C74" s="187"/>
      <c r="D74" s="187"/>
      <c r="E74" s="188"/>
      <c r="F74" s="252"/>
      <c r="G74" s="188"/>
      <c r="H74" s="253"/>
      <c r="I74" s="187"/>
      <c r="J74" s="187"/>
      <c r="K74" s="187"/>
      <c r="L74" s="187"/>
      <c r="M74" s="187"/>
      <c r="N74" s="187"/>
      <c r="O74" s="187"/>
      <c r="P74" s="187"/>
      <c r="Q74" s="187"/>
      <c r="R74" s="187"/>
      <c r="S74" s="187"/>
      <c r="T74" s="187"/>
      <c r="U74" s="190"/>
      <c r="V74" s="187"/>
      <c r="W74" s="187"/>
      <c r="X74" s="187"/>
      <c r="Y74" s="187"/>
      <c r="Z74" s="187"/>
      <c r="AA74" s="177"/>
    </row>
    <row r="75" ht="23.25" spans="1:27">
      <c r="A75" s="254" t="s">
        <v>67</v>
      </c>
      <c r="B75" s="255"/>
      <c r="C75" s="255"/>
      <c r="D75" s="255"/>
      <c r="E75" s="255"/>
      <c r="F75" s="255"/>
      <c r="G75" s="256"/>
      <c r="H75" s="255"/>
      <c r="I75" s="255"/>
      <c r="J75" s="255"/>
      <c r="K75" s="255"/>
      <c r="L75" s="255"/>
      <c r="M75" s="255"/>
      <c r="N75" s="255"/>
      <c r="O75" s="255"/>
      <c r="P75" s="255"/>
      <c r="Q75" s="255"/>
      <c r="R75" s="255"/>
      <c r="S75" s="255"/>
      <c r="T75" s="257"/>
      <c r="U75" s="258"/>
      <c r="V75" s="257"/>
      <c r="W75" s="257"/>
      <c r="X75" s="257"/>
      <c r="Y75" s="257"/>
      <c r="Z75" s="257"/>
    </row>
    <row r="76" spans="1:27">
      <c r="A76" s="187"/>
      <c r="B76" s="187"/>
      <c r="C76" s="187"/>
      <c r="D76" s="187"/>
      <c r="E76" s="187"/>
      <c r="F76" s="187"/>
      <c r="G76" s="187"/>
      <c r="H76" s="187"/>
      <c r="I76" s="187"/>
      <c r="J76" s="187"/>
      <c r="K76" s="187"/>
      <c r="L76" s="187"/>
      <c r="M76" s="187"/>
      <c r="N76" s="187"/>
      <c r="O76" s="187"/>
      <c r="P76" s="187"/>
      <c r="Q76" s="187"/>
      <c r="R76" s="187"/>
      <c r="S76" s="187"/>
      <c r="T76" s="187"/>
      <c r="U76" s="190"/>
      <c r="V76" s="187"/>
      <c r="W76" s="187"/>
      <c r="X76" s="187"/>
      <c r="Y76" s="187"/>
      <c r="Z76" s="187"/>
      <c r="AA76" s="177"/>
    </row>
    <row r="77" ht="15.75" spans="1:27">
      <c r="A77" s="259" t="s">
        <v>68</v>
      </c>
      <c r="B77" s="190"/>
      <c r="C77" s="190"/>
      <c r="D77" s="190"/>
      <c r="E77" s="190"/>
      <c r="F77" s="187"/>
      <c r="G77" s="187"/>
      <c r="H77" s="190"/>
      <c r="I77" s="190"/>
      <c r="J77" s="187"/>
      <c r="K77" s="187"/>
      <c r="L77" s="187"/>
      <c r="M77" s="187"/>
      <c r="N77" s="187"/>
      <c r="O77" s="187"/>
      <c r="P77" s="187"/>
      <c r="Q77" s="187"/>
      <c r="R77" s="187"/>
      <c r="S77" s="187"/>
      <c r="T77" s="187"/>
      <c r="U77" s="190"/>
      <c r="V77" s="187"/>
      <c r="W77" s="187"/>
      <c r="X77" s="187"/>
      <c r="Y77" s="187"/>
      <c r="Z77" s="187"/>
      <c r="AA77" s="177"/>
    </row>
    <row r="78" ht="16.5" spans="1:27">
      <c r="A78" s="192"/>
      <c r="B78" s="193"/>
      <c r="C78" s="193"/>
      <c r="D78" s="193"/>
      <c r="E78" s="193"/>
      <c r="F78" s="193"/>
      <c r="G78" s="260" t="s">
        <v>69</v>
      </c>
      <c r="H78" s="195">
        <v>8.5</v>
      </c>
      <c r="I78" s="261" t="s">
        <v>70</v>
      </c>
      <c r="J78" s="80"/>
      <c r="K78" s="80"/>
      <c r="L78" s="80"/>
      <c r="M78" s="80"/>
      <c r="N78" s="80"/>
      <c r="O78" s="80"/>
      <c r="P78" s="80"/>
      <c r="Q78" s="80"/>
      <c r="R78" s="80"/>
      <c r="S78" s="80"/>
      <c r="T78" s="80"/>
      <c r="U78" s="262"/>
      <c r="V78" s="253"/>
      <c r="W78" s="80"/>
      <c r="X78" s="80"/>
      <c r="Y78" s="80"/>
      <c r="Z78" s="80"/>
      <c r="AA78" s="177"/>
    </row>
    <row r="79" ht="16.5" spans="1:27">
      <c r="A79" s="240"/>
      <c r="B79" s="190"/>
      <c r="C79" s="190"/>
      <c r="D79" s="190"/>
      <c r="E79" s="190"/>
      <c r="F79" s="190"/>
      <c r="G79" s="263" t="s">
        <v>71</v>
      </c>
      <c r="H79" s="199">
        <v>15</v>
      </c>
      <c r="I79" s="264" t="s">
        <v>72</v>
      </c>
      <c r="J79" s="80"/>
      <c r="K79" s="80"/>
      <c r="L79" s="80"/>
      <c r="M79" s="80"/>
      <c r="N79" s="80"/>
      <c r="O79" s="80"/>
      <c r="P79" s="80"/>
      <c r="Q79" s="80"/>
      <c r="R79" s="80"/>
      <c r="S79" s="80"/>
      <c r="T79" s="80"/>
      <c r="U79" s="262"/>
      <c r="V79" s="253"/>
      <c r="W79" s="80"/>
      <c r="X79" s="80"/>
      <c r="Y79" s="80"/>
      <c r="Z79" s="80"/>
      <c r="AA79" s="177"/>
    </row>
    <row r="80" ht="16.5" spans="1:27">
      <c r="A80" s="240"/>
      <c r="B80" s="190"/>
      <c r="C80" s="190"/>
      <c r="D80" s="190"/>
      <c r="E80" s="190"/>
      <c r="F80" s="190"/>
      <c r="G80" s="263" t="s">
        <v>73</v>
      </c>
      <c r="H80" s="199">
        <v>6.5</v>
      </c>
      <c r="I80" s="264" t="s">
        <v>72</v>
      </c>
      <c r="J80" s="80"/>
      <c r="K80" s="80"/>
      <c r="L80" s="80"/>
      <c r="M80" s="80"/>
      <c r="N80" s="80"/>
      <c r="O80" s="80"/>
      <c r="P80" s="80"/>
      <c r="Q80" s="80"/>
      <c r="R80" s="80"/>
      <c r="S80" s="80"/>
      <c r="T80" s="80"/>
      <c r="U80" s="262"/>
      <c r="V80" s="253"/>
      <c r="W80" s="80"/>
      <c r="X80" s="80"/>
      <c r="Y80" s="80"/>
      <c r="Z80" s="80"/>
      <c r="AA80" s="177"/>
    </row>
    <row r="81" ht="16.5" spans="1:27">
      <c r="A81" s="197"/>
      <c r="B81" s="190"/>
      <c r="C81" s="190"/>
      <c r="D81" s="190"/>
      <c r="E81" s="190"/>
      <c r="F81" s="190"/>
      <c r="G81" s="263" t="s">
        <v>74</v>
      </c>
      <c r="H81" s="199">
        <v>3.5</v>
      </c>
      <c r="I81" s="264" t="s">
        <v>72</v>
      </c>
      <c r="J81" s="80"/>
      <c r="K81" s="80"/>
      <c r="L81" s="80"/>
      <c r="M81" s="80"/>
      <c r="N81" s="80"/>
      <c r="O81" s="80"/>
      <c r="P81" s="80"/>
      <c r="Q81" s="80"/>
      <c r="R81" s="80"/>
      <c r="S81" s="80"/>
      <c r="T81" s="80"/>
      <c r="U81" s="262"/>
      <c r="V81" s="253"/>
      <c r="W81" s="80"/>
      <c r="X81" s="80"/>
      <c r="Y81" s="80"/>
      <c r="Z81" s="80"/>
      <c r="AA81" s="177"/>
    </row>
    <row r="82" ht="16.5" spans="1:27">
      <c r="A82" s="197"/>
      <c r="B82" s="190"/>
      <c r="C82" s="190"/>
      <c r="D82" s="190"/>
      <c r="E82" s="190"/>
      <c r="F82" s="190"/>
      <c r="G82" s="263" t="s">
        <v>75</v>
      </c>
      <c r="H82" s="199">
        <v>1.3</v>
      </c>
      <c r="I82" s="264" t="s">
        <v>76</v>
      </c>
      <c r="J82" s="80"/>
      <c r="K82" s="80"/>
      <c r="L82" s="80"/>
      <c r="M82" s="80"/>
      <c r="N82" s="80"/>
      <c r="O82" s="80"/>
      <c r="P82" s="80"/>
      <c r="Q82" s="80"/>
      <c r="R82" s="80"/>
      <c r="S82" s="80"/>
      <c r="T82" s="80"/>
      <c r="U82" s="262"/>
      <c r="V82" s="253"/>
      <c r="W82" s="80"/>
      <c r="X82" s="80"/>
      <c r="Y82" s="80"/>
      <c r="Z82" s="80"/>
      <c r="AA82" s="177"/>
    </row>
    <row r="83" ht="16.5" spans="1:27">
      <c r="A83" s="197"/>
      <c r="B83" s="190"/>
      <c r="C83" s="190"/>
      <c r="D83" s="190"/>
      <c r="E83" s="190"/>
      <c r="F83" s="190"/>
      <c r="G83" s="263" t="s">
        <v>77</v>
      </c>
      <c r="H83" s="199">
        <v>70</v>
      </c>
      <c r="I83" s="264" t="s">
        <v>78</v>
      </c>
      <c r="J83" s="80"/>
      <c r="K83" s="80"/>
      <c r="L83" s="80"/>
      <c r="M83" s="80"/>
      <c r="N83" s="80"/>
      <c r="O83" s="80"/>
      <c r="P83" s="80"/>
      <c r="Q83" s="80"/>
      <c r="R83" s="80"/>
      <c r="S83" s="80"/>
      <c r="T83" s="80"/>
      <c r="U83" s="262"/>
      <c r="V83" s="253"/>
      <c r="W83" s="80"/>
      <c r="X83" s="80"/>
      <c r="Y83" s="80"/>
      <c r="Z83" s="80"/>
      <c r="AA83" s="177"/>
    </row>
    <row r="84" ht="17.25" spans="1:27">
      <c r="A84" s="220"/>
      <c r="B84" s="209"/>
      <c r="C84" s="209"/>
      <c r="D84" s="209"/>
      <c r="E84" s="209"/>
      <c r="F84" s="209"/>
      <c r="G84" s="265" t="s">
        <v>79</v>
      </c>
      <c r="H84" s="231">
        <v>1.65</v>
      </c>
      <c r="I84" s="266" t="s">
        <v>7</v>
      </c>
      <c r="J84" s="80"/>
      <c r="K84" s="80"/>
      <c r="L84" s="80"/>
      <c r="M84" s="80"/>
      <c r="N84" s="80"/>
      <c r="O84" s="80"/>
      <c r="P84" s="80"/>
      <c r="Q84" s="80"/>
      <c r="R84" s="80"/>
      <c r="S84" s="80"/>
      <c r="T84" s="80"/>
      <c r="U84" s="262"/>
      <c r="V84" s="253"/>
      <c r="W84" s="80"/>
      <c r="X84" s="80"/>
      <c r="Y84" s="80"/>
      <c r="Z84" s="80"/>
      <c r="AA84" s="177"/>
    </row>
    <row r="85" spans="1:27">
      <c r="A85" s="187"/>
      <c r="B85" s="187"/>
      <c r="C85" s="187"/>
      <c r="D85" s="187"/>
      <c r="E85" s="187"/>
      <c r="F85" s="187"/>
      <c r="G85" s="188"/>
      <c r="H85" s="187"/>
      <c r="I85" s="190"/>
      <c r="J85" s="187"/>
      <c r="K85" s="187"/>
      <c r="L85" s="187"/>
      <c r="M85" s="187"/>
      <c r="N85" s="187"/>
      <c r="O85" s="187"/>
      <c r="P85" s="187"/>
      <c r="Q85" s="187"/>
      <c r="R85" s="187"/>
      <c r="S85" s="187"/>
      <c r="T85" s="187"/>
      <c r="U85" s="190"/>
      <c r="V85" s="187"/>
      <c r="W85" s="187"/>
      <c r="X85" s="187"/>
      <c r="Y85" s="187"/>
      <c r="Z85" s="187"/>
      <c r="AA85" s="177"/>
    </row>
    <row r="86" ht="15.75" spans="1:27">
      <c r="A86" s="267" t="s">
        <v>80</v>
      </c>
      <c r="B86" s="187"/>
      <c r="C86" s="187"/>
      <c r="D86" s="187"/>
      <c r="E86" s="187"/>
      <c r="F86" s="187"/>
      <c r="G86" s="188"/>
      <c r="H86" s="187"/>
      <c r="I86" s="187"/>
      <c r="J86" s="187"/>
      <c r="K86" s="187"/>
      <c r="L86" s="187"/>
      <c r="M86" s="187"/>
      <c r="N86" s="187"/>
      <c r="O86" s="187"/>
      <c r="P86" s="187"/>
      <c r="Q86" s="187"/>
      <c r="R86" s="187"/>
      <c r="S86" s="187"/>
      <c r="T86" s="187"/>
      <c r="U86" s="190"/>
      <c r="V86" s="187"/>
      <c r="W86" s="187"/>
      <c r="X86" s="187"/>
      <c r="Y86" s="187"/>
      <c r="Z86" s="187"/>
      <c r="AA86" s="177"/>
    </row>
    <row r="87" ht="18.75" spans="1:27">
      <c r="A87" s="192"/>
      <c r="B87" s="193"/>
      <c r="C87" s="193"/>
      <c r="D87" s="193"/>
      <c r="E87" s="193"/>
      <c r="F87" s="193"/>
      <c r="G87" s="229" t="s">
        <v>81</v>
      </c>
      <c r="H87" s="268">
        <f>IOUT</f>
        <v>2</v>
      </c>
      <c r="I87" s="196" t="s">
        <v>12</v>
      </c>
      <c r="J87" s="80"/>
      <c r="K87" s="80"/>
      <c r="L87" s="80"/>
      <c r="M87" s="80"/>
      <c r="N87" s="80"/>
      <c r="O87" s="80"/>
      <c r="P87" s="80"/>
      <c r="Q87" s="80"/>
      <c r="R87" s="80"/>
      <c r="S87" s="80"/>
      <c r="T87" s="80"/>
      <c r="U87" s="262"/>
      <c r="V87" s="253"/>
      <c r="W87" s="80"/>
      <c r="X87" s="80"/>
      <c r="Y87" s="80"/>
      <c r="Z87" s="80"/>
      <c r="AA87" s="177"/>
    </row>
    <row r="88" ht="18.75" spans="1:27">
      <c r="A88" s="197"/>
      <c r="B88" s="190"/>
      <c r="C88" s="190"/>
      <c r="D88" s="190"/>
      <c r="E88" s="190"/>
      <c r="F88" s="190"/>
      <c r="G88" s="223" t="s">
        <v>82</v>
      </c>
      <c r="H88" s="199">
        <v>325</v>
      </c>
      <c r="I88" s="200" t="s">
        <v>46</v>
      </c>
      <c r="J88" s="80"/>
      <c r="K88" s="80"/>
      <c r="L88" s="80"/>
      <c r="M88" s="80"/>
      <c r="N88" s="80"/>
      <c r="O88" s="80"/>
      <c r="P88" s="80"/>
      <c r="Q88" s="80"/>
      <c r="R88" s="80"/>
      <c r="S88" s="80"/>
      <c r="T88" s="80"/>
      <c r="U88" s="262"/>
      <c r="V88" s="253"/>
      <c r="W88" s="80"/>
      <c r="X88" s="80"/>
      <c r="Y88" s="80"/>
      <c r="Z88" s="80"/>
      <c r="AA88" s="177"/>
    </row>
    <row r="89" ht="15.75" spans="1:27">
      <c r="A89" s="220"/>
      <c r="B89" s="209"/>
      <c r="C89" s="209"/>
      <c r="D89" s="209"/>
      <c r="E89" s="209"/>
      <c r="F89" s="209"/>
      <c r="G89" s="226" t="s">
        <v>83</v>
      </c>
      <c r="H89" s="231">
        <v>0</v>
      </c>
      <c r="I89" s="212" t="s">
        <v>72</v>
      </c>
      <c r="J89" s="80"/>
      <c r="K89" s="80"/>
      <c r="L89" s="80"/>
      <c r="M89" s="80"/>
      <c r="N89" s="80"/>
      <c r="O89" s="80"/>
      <c r="P89" s="80"/>
      <c r="Q89" s="80"/>
      <c r="R89" s="80"/>
      <c r="S89" s="80"/>
      <c r="T89" s="80"/>
      <c r="U89" s="262"/>
      <c r="V89" s="253"/>
      <c r="W89" s="80"/>
      <c r="X89" s="80"/>
      <c r="Y89" s="80"/>
      <c r="Z89" s="80"/>
      <c r="AA89" s="177"/>
    </row>
    <row r="90" spans="1:27">
      <c r="A90" s="187"/>
      <c r="B90" s="187"/>
      <c r="C90" s="187"/>
      <c r="D90" s="187"/>
      <c r="E90" s="187"/>
      <c r="F90" s="187"/>
      <c r="G90" s="188"/>
      <c r="H90" s="187"/>
      <c r="I90" s="187"/>
      <c r="J90" s="187"/>
      <c r="K90" s="187"/>
      <c r="L90" s="187"/>
      <c r="M90" s="187"/>
      <c r="N90" s="187"/>
      <c r="O90" s="187"/>
      <c r="P90" s="187"/>
      <c r="Q90" s="187"/>
      <c r="R90" s="187"/>
      <c r="S90" s="187"/>
      <c r="T90" s="187"/>
      <c r="U90" s="190"/>
      <c r="V90" s="187"/>
      <c r="W90" s="187"/>
      <c r="X90" s="187"/>
      <c r="Y90" s="187"/>
      <c r="Z90" s="187"/>
      <c r="AA90" s="177"/>
    </row>
    <row r="91" spans="1:27">
      <c r="A91" s="187"/>
      <c r="B91" s="187"/>
      <c r="C91" s="187"/>
      <c r="D91" s="187"/>
      <c r="E91" s="187"/>
      <c r="F91" s="187"/>
      <c r="G91" s="188"/>
      <c r="H91" s="187"/>
      <c r="I91" s="187"/>
      <c r="J91" s="187"/>
      <c r="K91" s="187"/>
      <c r="L91" s="187"/>
      <c r="M91" s="187"/>
      <c r="N91" s="187"/>
      <c r="O91" s="187"/>
      <c r="P91" s="187"/>
      <c r="Q91" s="187"/>
      <c r="R91" s="187"/>
      <c r="S91" s="187"/>
      <c r="T91" s="187"/>
      <c r="U91" s="190"/>
      <c r="V91" s="187"/>
      <c r="W91" s="187"/>
      <c r="X91" s="187"/>
      <c r="Y91" s="187"/>
      <c r="Z91" s="187"/>
      <c r="AA91" s="177"/>
    </row>
    <row r="92" spans="1:27">
      <c r="A92" s="187"/>
      <c r="B92" s="187"/>
      <c r="C92" s="187"/>
      <c r="D92" s="187"/>
      <c r="E92" s="187"/>
      <c r="F92" s="187"/>
      <c r="G92" s="188"/>
      <c r="H92" s="187"/>
      <c r="I92" s="187"/>
      <c r="J92" s="187"/>
      <c r="K92" s="187"/>
      <c r="L92" s="187"/>
      <c r="M92" s="187"/>
      <c r="N92" s="187"/>
      <c r="O92" s="187"/>
      <c r="P92" s="187"/>
      <c r="Q92" s="187"/>
      <c r="R92" s="187"/>
      <c r="S92" s="187"/>
      <c r="T92" s="187"/>
      <c r="U92" s="190"/>
      <c r="V92" s="187"/>
      <c r="W92" s="187"/>
      <c r="X92" s="187"/>
      <c r="Y92" s="187"/>
      <c r="Z92" s="187"/>
      <c r="AA92" s="177"/>
    </row>
    <row r="93" spans="1:27">
      <c r="A93" s="187"/>
      <c r="B93" s="187"/>
      <c r="C93" s="187"/>
      <c r="D93" s="187"/>
      <c r="E93" s="187"/>
      <c r="F93" s="187"/>
      <c r="G93" s="188"/>
      <c r="H93" s="187"/>
      <c r="I93" s="187"/>
      <c r="J93" s="187"/>
      <c r="K93" s="187"/>
      <c r="L93" s="187"/>
      <c r="M93" s="187"/>
      <c r="N93" s="187"/>
      <c r="O93" s="187"/>
      <c r="P93" s="187"/>
      <c r="Q93" s="187"/>
      <c r="R93" s="187"/>
      <c r="S93" s="187"/>
      <c r="T93" s="187"/>
      <c r="U93" s="190"/>
      <c r="V93" s="187"/>
      <c r="W93" s="187"/>
      <c r="X93" s="187"/>
      <c r="Y93" s="187"/>
      <c r="Z93" s="187"/>
      <c r="AA93" s="177"/>
    </row>
    <row r="94" spans="1:27">
      <c r="A94" s="187"/>
      <c r="B94" s="187"/>
      <c r="C94" s="187"/>
      <c r="D94" s="187"/>
      <c r="E94" s="187"/>
      <c r="F94" s="187"/>
      <c r="G94" s="188"/>
      <c r="H94" s="187"/>
      <c r="I94" s="187"/>
      <c r="J94" s="187"/>
      <c r="K94" s="187"/>
      <c r="L94" s="187"/>
      <c r="M94" s="187"/>
      <c r="N94" s="187"/>
      <c r="O94" s="187"/>
      <c r="P94" s="187"/>
      <c r="Q94" s="187"/>
      <c r="R94" s="187"/>
      <c r="S94" s="187"/>
      <c r="T94" s="187"/>
      <c r="U94" s="190"/>
      <c r="V94" s="187"/>
      <c r="W94" s="187"/>
      <c r="X94" s="187"/>
      <c r="Y94" s="187"/>
      <c r="Z94" s="187"/>
      <c r="AA94" s="177"/>
    </row>
    <row r="95" spans="1:27">
      <c r="A95" s="187"/>
      <c r="B95" s="187"/>
      <c r="C95" s="187"/>
      <c r="D95" s="187"/>
      <c r="E95" s="187"/>
      <c r="F95" s="187"/>
      <c r="G95" s="188"/>
      <c r="H95" s="187"/>
      <c r="I95" s="187"/>
      <c r="J95" s="187"/>
      <c r="K95" s="187"/>
      <c r="L95" s="187"/>
      <c r="M95" s="187"/>
      <c r="N95" s="187"/>
      <c r="O95" s="187"/>
      <c r="P95" s="187"/>
      <c r="Q95" s="187"/>
      <c r="R95" s="187"/>
      <c r="S95" s="187"/>
      <c r="T95" s="187"/>
      <c r="U95" s="190"/>
      <c r="V95" s="187"/>
      <c r="W95" s="187"/>
      <c r="X95" s="187"/>
      <c r="Y95" s="187"/>
      <c r="Z95" s="187"/>
      <c r="AA95" s="177"/>
    </row>
    <row r="96" spans="1:27">
      <c r="A96" s="187"/>
      <c r="B96" s="187"/>
      <c r="C96" s="187"/>
      <c r="D96" s="187"/>
      <c r="E96" s="187"/>
      <c r="F96" s="187"/>
      <c r="G96" s="188"/>
      <c r="H96" s="187"/>
      <c r="I96" s="187"/>
      <c r="J96" s="187"/>
      <c r="K96" s="187"/>
      <c r="L96" s="187"/>
      <c r="M96" s="187"/>
      <c r="N96" s="187"/>
      <c r="O96" s="187"/>
      <c r="P96" s="187"/>
      <c r="Q96" s="187"/>
      <c r="R96" s="187"/>
      <c r="S96" s="187"/>
      <c r="T96" s="187"/>
      <c r="U96" s="190"/>
      <c r="V96" s="187"/>
      <c r="W96" s="187"/>
      <c r="X96" s="187"/>
      <c r="Y96" s="187"/>
      <c r="Z96" s="187"/>
      <c r="AA96" s="177"/>
    </row>
    <row r="97" spans="1:27">
      <c r="A97" s="187"/>
      <c r="B97" s="187"/>
      <c r="C97" s="187"/>
      <c r="D97" s="187"/>
      <c r="E97" s="187"/>
      <c r="F97" s="187"/>
      <c r="G97" s="188"/>
      <c r="H97" s="187"/>
      <c r="I97" s="187"/>
      <c r="J97" s="187"/>
      <c r="K97" s="187"/>
      <c r="L97" s="187"/>
      <c r="M97" s="187"/>
      <c r="N97" s="187"/>
      <c r="O97" s="187"/>
      <c r="P97" s="187"/>
      <c r="Q97" s="187"/>
      <c r="R97" s="187"/>
      <c r="S97" s="187"/>
      <c r="T97" s="187"/>
      <c r="U97" s="190"/>
      <c r="V97" s="187"/>
      <c r="W97" s="187"/>
      <c r="X97" s="187"/>
      <c r="Y97" s="187"/>
      <c r="Z97" s="187"/>
      <c r="AA97" s="177"/>
    </row>
    <row r="98" spans="1:27">
      <c r="A98" s="187"/>
      <c r="B98" s="187"/>
      <c r="C98" s="187"/>
      <c r="D98" s="187"/>
      <c r="E98" s="187"/>
      <c r="F98" s="187"/>
      <c r="G98" s="188"/>
      <c r="H98" s="187"/>
      <c r="I98" s="187"/>
      <c r="J98" s="187"/>
      <c r="K98" s="187"/>
      <c r="L98" s="187"/>
      <c r="M98" s="187"/>
      <c r="N98" s="187"/>
      <c r="O98" s="187"/>
      <c r="P98" s="187"/>
      <c r="Q98" s="187"/>
      <c r="R98" s="187"/>
      <c r="S98" s="187"/>
      <c r="T98" s="187"/>
      <c r="U98" s="190"/>
      <c r="V98" s="187"/>
      <c r="W98" s="187"/>
      <c r="X98" s="187"/>
      <c r="Y98" s="187"/>
      <c r="Z98" s="187"/>
      <c r="AA98" s="177"/>
    </row>
    <row r="99" spans="1:27">
      <c r="A99" s="187"/>
      <c r="B99" s="187"/>
      <c r="C99" s="187"/>
      <c r="D99" s="187"/>
      <c r="E99" s="187"/>
      <c r="F99" s="187"/>
      <c r="G99" s="188"/>
      <c r="H99" s="187"/>
      <c r="I99" s="187"/>
      <c r="J99" s="187"/>
      <c r="K99" s="187"/>
      <c r="L99" s="187"/>
      <c r="M99" s="187"/>
      <c r="N99" s="187"/>
      <c r="O99" s="187"/>
      <c r="P99" s="187"/>
      <c r="Q99" s="187"/>
      <c r="R99" s="187"/>
      <c r="S99" s="187"/>
      <c r="T99" s="187"/>
      <c r="U99" s="190"/>
      <c r="V99" s="187"/>
      <c r="W99" s="187"/>
      <c r="X99" s="187"/>
      <c r="Y99" s="187"/>
      <c r="Z99" s="187"/>
      <c r="AA99" s="177"/>
    </row>
    <row r="100" spans="1:27">
      <c r="A100" s="187"/>
      <c r="B100" s="187"/>
      <c r="C100" s="187"/>
      <c r="D100" s="187"/>
      <c r="E100" s="187"/>
      <c r="F100" s="187"/>
      <c r="G100" s="188"/>
      <c r="H100" s="187"/>
      <c r="I100" s="187"/>
      <c r="J100" s="187"/>
      <c r="K100" s="187"/>
      <c r="L100" s="187"/>
      <c r="M100" s="187"/>
      <c r="N100" s="187"/>
      <c r="O100" s="187"/>
      <c r="P100" s="187"/>
      <c r="Q100" s="187"/>
      <c r="R100" s="187"/>
      <c r="S100" s="187"/>
      <c r="T100" s="187"/>
      <c r="U100" s="190"/>
      <c r="V100" s="187"/>
      <c r="W100" s="187"/>
      <c r="X100" s="187"/>
      <c r="Y100" s="187"/>
      <c r="Z100" s="187"/>
      <c r="AA100" s="177"/>
    </row>
    <row r="101" spans="1:27">
      <c r="A101" s="187"/>
      <c r="B101" s="187"/>
      <c r="C101" s="187"/>
      <c r="D101" s="187"/>
      <c r="E101" s="187"/>
      <c r="F101" s="187"/>
      <c r="G101" s="188"/>
      <c r="H101" s="187"/>
      <c r="I101" s="187"/>
      <c r="J101" s="187"/>
      <c r="K101" s="187"/>
      <c r="L101" s="187"/>
      <c r="M101" s="187"/>
      <c r="N101" s="187"/>
      <c r="O101" s="187"/>
      <c r="P101" s="187"/>
      <c r="Q101" s="187"/>
      <c r="R101" s="187"/>
      <c r="S101" s="187"/>
      <c r="T101" s="187"/>
      <c r="U101" s="190"/>
      <c r="V101" s="187"/>
      <c r="W101" s="187"/>
      <c r="X101" s="187"/>
      <c r="Y101" s="187"/>
      <c r="Z101" s="187"/>
      <c r="AA101" s="177"/>
    </row>
    <row r="102" spans="1:27">
      <c r="A102" s="269"/>
      <c r="B102" s="269"/>
      <c r="C102" s="269"/>
      <c r="D102" s="269"/>
      <c r="E102" s="269"/>
      <c r="F102" s="269"/>
      <c r="G102" s="270"/>
      <c r="H102" s="269"/>
      <c r="I102" s="269"/>
      <c r="J102" s="269"/>
      <c r="K102" s="269"/>
      <c r="L102" s="269"/>
      <c r="M102" s="269"/>
      <c r="N102" s="269"/>
      <c r="O102" s="269"/>
      <c r="P102" s="269"/>
      <c r="Q102" s="269"/>
      <c r="R102" s="269"/>
      <c r="S102" s="269"/>
      <c r="T102" s="269"/>
      <c r="U102" s="178"/>
      <c r="V102" s="269"/>
      <c r="W102" s="269"/>
      <c r="X102" s="269"/>
      <c r="Y102" s="269"/>
      <c r="Z102" s="269"/>
      <c r="AA102" s="177"/>
    </row>
  </sheetData>
  <sheetProtection algorithmName="SHA-512" hashValue="bZn5BxNoQji7e1OWgd53ovX541s0yIMhHlSN7b6uPqCJHi2+HVCy3Ji5mYlhYKsqPcL7cRV0iAgdJo4VuP7CPw==" saltValue="3v/sh/XiDIsewZ/5WLObCA==" spinCount="100000" sheet="1" selectLockedCells="1" objects="1" scenarios="1"/>
  <conditionalFormatting sqref="H7">
    <cfRule type="cellIs" dxfId="0" priority="9" operator="lessThan">
      <formula>VIN_op_min</formula>
    </cfRule>
    <cfRule type="cellIs" dxfId="0" priority="10" operator="greaterThan">
      <formula>VIN_op_max</formula>
    </cfRule>
  </conditionalFormatting>
  <conditionalFormatting sqref="H8">
    <cfRule type="cellIs" dxfId="0" priority="8" operator="notBetween">
      <formula>$H$7</formula>
      <formula>$H$9</formula>
    </cfRule>
  </conditionalFormatting>
  <conditionalFormatting sqref="H9">
    <cfRule type="cellIs" dxfId="0" priority="5" operator="greaterThan">
      <formula>VIN_op_max</formula>
    </cfRule>
    <cfRule type="cellIs" dxfId="0" priority="6" operator="lessThan">
      <formula>VIN_op_min</formula>
    </cfRule>
  </conditionalFormatting>
  <conditionalFormatting sqref="H12">
    <cfRule type="cellIs" dxfId="0" priority="1" operator="notBetween">
      <formula>100</formula>
      <formula>1000</formula>
    </cfRule>
  </conditionalFormatting>
  <conditionalFormatting sqref="H16">
    <cfRule type="expression" dxfId="1" priority="2">
      <formula>$H$16&gt;$H$15</formula>
    </cfRule>
  </conditionalFormatting>
  <conditionalFormatting sqref="H59">
    <cfRule type="expression" dxfId="2" priority="3">
      <formula>Loop_Modeling!$B$16&gt;$H$9</formula>
    </cfRule>
    <cfRule type="expression" dxfId="2" priority="4">
      <formula>Loop_Modeling!$B$16&lt;$H$7</formula>
    </cfRule>
  </conditionalFormatting>
  <hyperlinks>
    <hyperlink ref="O3" location="Licenses!A1" display="TERMS OF USE"/>
  </hyperlinks>
  <pageMargins left="0.2" right="0.2" top="0.25" bottom="0.25" header="0" footer="0"/>
  <pageSetup paperSize="9" scale="44" orientation="portrait"/>
  <headerFooter/>
  <drawing r:id="rId2"/>
  <legacyDrawing r:id="rId3"/>
  <mc:AlternateContent xmlns:mc="http://schemas.openxmlformats.org/markup-compatibility/2006">
    <mc:Choice Requires="x14">
      <controls>
        <mc:AlternateContent xmlns:mc="http://schemas.openxmlformats.org/markup-compatibility/2006">
          <mc:Choice Requires="x14">
            <control shapeId="1060" name="Spinner 36" r:id="rId4">
              <controlPr defaultSize="0">
                <anchor moveWithCells="1" sizeWithCells="1">
                  <from>
                    <xdr:col>7</xdr:col>
                    <xdr:colOff>751840</xdr:colOff>
                    <xdr:row>58</xdr:row>
                    <xdr:rowOff>0</xdr:rowOff>
                  </from>
                  <to>
                    <xdr:col>8</xdr:col>
                    <xdr:colOff>269240</xdr:colOff>
                    <xdr:row>60</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47"/>
  <sheetViews>
    <sheetView topLeftCell="A7" workbookViewId="0">
      <selection activeCell="A50" sqref="A50"/>
    </sheetView>
  </sheetViews>
  <sheetFormatPr defaultColWidth="9.14285714285714" defaultRowHeight="14.25"/>
  <cols>
    <col min="1" max="1" width="25.7142857142857" style="150" customWidth="1"/>
    <col min="2" max="2" width="56.5714285714286" style="151" customWidth="1"/>
    <col min="3" max="11" width="9.14285714285714" style="152"/>
    <col min="12" max="12" width="20.4285714285714" style="152" customWidth="1"/>
    <col min="13" max="16384" width="9.14285714285714" style="152"/>
  </cols>
  <sheetData>
    <row r="1" spans="1:12">
      <c r="B1" s="150"/>
      <c r="C1" s="150"/>
      <c r="D1" s="150"/>
      <c r="E1" s="150"/>
      <c r="F1" s="150"/>
      <c r="G1" s="150"/>
      <c r="H1" s="150"/>
      <c r="I1" s="150"/>
      <c r="J1" s="150"/>
      <c r="K1" s="150"/>
      <c r="L1" s="150"/>
    </row>
    <row r="2" spans="1:12">
      <c r="B2" s="150"/>
      <c r="C2" s="150"/>
      <c r="D2" s="150"/>
      <c r="E2" s="150"/>
      <c r="F2" s="150"/>
      <c r="G2" s="150"/>
      <c r="H2" s="150"/>
      <c r="I2" s="150"/>
      <c r="J2" s="150"/>
      <c r="K2" s="150"/>
      <c r="L2" s="150"/>
    </row>
    <row r="3" spans="1:12">
      <c r="B3" s="150"/>
      <c r="C3" s="150"/>
      <c r="D3" s="150"/>
      <c r="E3" s="150"/>
      <c r="F3" s="150"/>
      <c r="G3" s="150"/>
      <c r="H3" s="150"/>
      <c r="I3" s="150"/>
      <c r="J3" s="150"/>
      <c r="K3" s="150"/>
      <c r="L3" s="150"/>
    </row>
    <row r="4" spans="1:12">
      <c r="A4" s="153"/>
      <c r="B4" s="153"/>
      <c r="C4" s="153"/>
      <c r="D4" s="153"/>
      <c r="E4" s="153"/>
      <c r="F4" s="153"/>
      <c r="G4" s="153"/>
      <c r="H4" s="153"/>
      <c r="I4" s="153"/>
      <c r="J4" s="153"/>
      <c r="K4" s="153"/>
      <c r="L4" s="153"/>
    </row>
    <row r="5" spans="1:12">
      <c r="A5" s="154" t="s">
        <v>84</v>
      </c>
      <c r="B5" s="155" t="s">
        <v>85</v>
      </c>
      <c r="C5" s="156"/>
      <c r="D5" s="156"/>
      <c r="E5" s="156"/>
      <c r="F5" s="156"/>
      <c r="G5" s="156"/>
      <c r="H5" s="156"/>
      <c r="I5" s="156"/>
      <c r="J5" s="156"/>
      <c r="K5" s="157"/>
      <c r="L5" s="158"/>
    </row>
    <row r="6" spans="1:12">
      <c r="A6" s="154"/>
      <c r="B6" s="159"/>
      <c r="C6" s="156"/>
      <c r="D6" s="156"/>
      <c r="E6" s="156"/>
      <c r="F6" s="156"/>
      <c r="G6" s="156"/>
      <c r="H6" s="156"/>
      <c r="I6" s="156"/>
      <c r="J6" s="158"/>
      <c r="K6" s="158"/>
      <c r="L6" s="158"/>
    </row>
    <row r="35" spans="1:39">
      <c r="A35" s="160" t="s">
        <v>86</v>
      </c>
      <c r="B35" s="161"/>
      <c r="C35" s="156"/>
      <c r="D35" s="156"/>
      <c r="E35" s="156"/>
      <c r="F35" s="156"/>
      <c r="G35" s="156"/>
      <c r="H35" s="156"/>
      <c r="I35" s="156"/>
      <c r="J35" s="156"/>
      <c r="K35" s="156"/>
    </row>
    <row r="36" spans="1:39">
      <c r="A36" s="162" t="s">
        <v>87</v>
      </c>
      <c r="B36" s="163" t="s">
        <v>88</v>
      </c>
      <c r="C36" s="163"/>
      <c r="D36" s="163"/>
      <c r="E36" s="163"/>
      <c r="F36" s="163"/>
      <c r="G36" s="163"/>
      <c r="H36" s="163"/>
      <c r="I36" s="163"/>
      <c r="J36" s="163"/>
      <c r="K36" s="163"/>
    </row>
    <row r="37" spans="1:39">
      <c r="A37" s="160" t="s">
        <v>85</v>
      </c>
      <c r="B37" s="164" t="s">
        <v>89</v>
      </c>
      <c r="C37" s="164"/>
      <c r="D37" s="164"/>
      <c r="E37" s="164"/>
      <c r="F37" s="164"/>
      <c r="G37" s="164"/>
      <c r="H37" s="164"/>
      <c r="I37" s="164"/>
      <c r="J37" s="164"/>
      <c r="K37" s="164"/>
    </row>
    <row r="38" spans="1:39">
      <c r="A38" s="165"/>
      <c r="B38" s="166"/>
      <c r="C38" s="166"/>
      <c r="D38" s="166"/>
      <c r="E38" s="166"/>
      <c r="F38" s="166"/>
      <c r="G38" s="166"/>
      <c r="H38" s="166"/>
      <c r="I38" s="166"/>
      <c r="J38" s="166"/>
      <c r="K38" s="166"/>
    </row>
    <row r="39" spans="1:39">
      <c r="A39" s="165"/>
      <c r="B39" s="166"/>
      <c r="C39" s="166"/>
      <c r="D39" s="166"/>
      <c r="E39" s="166"/>
      <c r="F39" s="166"/>
      <c r="G39" s="166"/>
      <c r="H39" s="166"/>
      <c r="I39" s="166"/>
      <c r="J39" s="166"/>
      <c r="K39" s="166"/>
    </row>
    <row r="40" spans="1:39">
      <c r="A40" s="165"/>
      <c r="B40" s="166"/>
      <c r="C40" s="166"/>
      <c r="D40" s="166"/>
      <c r="E40" s="166"/>
      <c r="F40" s="166"/>
      <c r="G40" s="166"/>
      <c r="H40" s="166"/>
      <c r="I40" s="166"/>
      <c r="J40" s="166"/>
      <c r="K40" s="166"/>
    </row>
    <row r="41" spans="1:39">
      <c r="A41" s="165"/>
      <c r="B41" s="166"/>
      <c r="C41" s="166"/>
      <c r="D41" s="166"/>
      <c r="E41" s="166"/>
      <c r="F41" s="166"/>
      <c r="G41" s="166"/>
      <c r="H41" s="166"/>
      <c r="I41" s="166"/>
      <c r="J41" s="166"/>
      <c r="K41" s="166"/>
    </row>
    <row r="42" spans="1:39">
      <c r="A42" s="165"/>
      <c r="B42" s="166"/>
      <c r="C42" s="166"/>
      <c r="D42" s="166"/>
      <c r="E42" s="166"/>
      <c r="F42" s="166"/>
      <c r="G42" s="166"/>
      <c r="H42" s="166"/>
      <c r="I42" s="166"/>
      <c r="J42" s="166"/>
      <c r="K42" s="166"/>
    </row>
    <row r="43" spans="1:39">
      <c r="A43" s="165"/>
      <c r="B43" s="166"/>
      <c r="C43" s="166"/>
      <c r="D43" s="166"/>
      <c r="E43" s="166"/>
      <c r="F43" s="166"/>
      <c r="G43" s="166"/>
      <c r="H43" s="166"/>
      <c r="I43" s="166"/>
      <c r="J43" s="166"/>
      <c r="K43" s="166"/>
    </row>
    <row r="44" ht="15" spans="1:39">
      <c r="A44" s="165"/>
      <c r="B44" s="166"/>
      <c r="C44" s="166"/>
      <c r="D44" s="166"/>
      <c r="E44" s="166"/>
      <c r="F44" s="166"/>
      <c r="G44" s="166"/>
      <c r="H44" s="166"/>
      <c r="I44" s="166"/>
      <c r="J44" s="166"/>
      <c r="K44" s="166"/>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row>
    <row r="45" spans="1:39">
      <c r="A45" s="165"/>
      <c r="B45" s="166"/>
      <c r="C45" s="166"/>
      <c r="D45" s="166"/>
      <c r="E45" s="166"/>
      <c r="F45" s="166"/>
      <c r="G45" s="166"/>
      <c r="H45" s="166"/>
      <c r="I45" s="166"/>
      <c r="J45" s="166"/>
      <c r="K45" s="166"/>
    </row>
    <row r="46" spans="1:39">
      <c r="A46" s="165"/>
      <c r="B46" s="166"/>
      <c r="C46" s="166"/>
      <c r="D46" s="166"/>
      <c r="E46" s="166"/>
      <c r="F46" s="166"/>
      <c r="G46" s="166"/>
      <c r="H46" s="166"/>
      <c r="I46" s="166"/>
      <c r="J46" s="166"/>
      <c r="K46" s="166"/>
    </row>
    <row r="47" spans="1:39">
      <c r="A47" s="165"/>
      <c r="B47" s="166"/>
    </row>
  </sheetData>
  <sheetProtection algorithmName="SHA-512" hashValue="rCkc88BxOJWQBe78FPqt7ICVbVz8nKNKE2ce/WFibG/yE/6MwiXhVzvzNZ/2E2b/sxv5Bcf6aJyMuWEv2OSzgw==" saltValue="2OMgcJZhoSr8okNqcdjVFg==" spinCount="100000" sheet="1" selectLockedCells="1" objects="1" scenarios="1"/>
  <mergeCells count="5">
    <mergeCell ref="A4:L4"/>
    <mergeCell ref="B36:K36"/>
    <mergeCell ref="B37:K37"/>
    <mergeCell ref="B38:K38"/>
    <mergeCell ref="A1:L3"/>
  </mergeCells>
  <pageMargins left="0.7" right="0.7"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Q263"/>
  <sheetViews>
    <sheetView zoomScale="85" zoomScaleNormal="85" workbookViewId="0">
      <pane ySplit="5" topLeftCell="A6" activePane="bottomLeft" state="frozen"/>
      <selection/>
      <selection pane="bottomLeft" activeCell="C247" sqref="C247"/>
    </sheetView>
  </sheetViews>
  <sheetFormatPr defaultColWidth="9" defaultRowHeight="15"/>
  <cols>
    <col min="1" max="1" width="28.8571428571429" customWidth="1"/>
    <col min="2" max="2" width="19.5714285714286" customWidth="1"/>
    <col min="3" max="3" width="10.8571428571429" customWidth="1"/>
    <col min="4" max="4" width="10" customWidth="1"/>
    <col min="5" max="5" width="18.5714285714286" customWidth="1"/>
    <col min="6" max="6" width="14.8571428571429" customWidth="1"/>
    <col min="7" max="7" width="15.1428571428571" customWidth="1"/>
    <col min="8" max="9" width="12.5714285714286" customWidth="1"/>
    <col min="12" max="12" width="12.4285714285714" customWidth="1"/>
  </cols>
  <sheetData>
    <row r="1" ht="27.75" spans="1:17">
      <c r="A1" s="1" t="s">
        <v>90</v>
      </c>
      <c r="B1" s="1"/>
      <c r="C1" s="1"/>
      <c r="D1" s="1"/>
      <c r="E1" s="1"/>
      <c r="F1" s="1"/>
      <c r="G1" s="1"/>
      <c r="H1" s="1"/>
      <c r="I1" s="1"/>
      <c r="J1" s="1"/>
    </row>
    <row r="2" spans="1:17">
      <c r="A2" s="2"/>
      <c r="B2" s="2" t="s">
        <v>91</v>
      </c>
      <c r="C2" s="3"/>
      <c r="D2" s="4"/>
      <c r="E2" s="2"/>
      <c r="F2" s="2"/>
      <c r="G2" s="2"/>
      <c r="H2" s="2"/>
      <c r="I2" s="2"/>
      <c r="J2" s="2"/>
    </row>
    <row r="3" spans="1:17">
      <c r="A3" s="2"/>
      <c r="B3" s="2" t="s">
        <v>92</v>
      </c>
      <c r="C3" s="5"/>
      <c r="D3" s="4"/>
      <c r="E3" s="2"/>
      <c r="F3" s="20" t="s">
        <v>93</v>
      </c>
      <c r="G3" s="21" t="s">
        <v>94</v>
      </c>
      <c r="H3" s="22" t="s">
        <v>95</v>
      </c>
      <c r="I3" s="2"/>
      <c r="J3" s="2"/>
    </row>
    <row r="4" spans="1:17">
      <c r="A4" s="2"/>
      <c r="B4" s="2" t="s">
        <v>96</v>
      </c>
      <c r="C4" s="6"/>
      <c r="D4" s="4"/>
      <c r="E4" s="2"/>
      <c r="F4" s="2"/>
      <c r="G4" s="2"/>
      <c r="H4" s="2"/>
      <c r="I4" s="2"/>
      <c r="J4" s="2"/>
    </row>
    <row r="5" spans="1:17">
      <c r="A5" s="7" t="s">
        <v>97</v>
      </c>
      <c r="B5" s="7" t="s">
        <v>98</v>
      </c>
      <c r="C5" s="7" t="s">
        <v>99</v>
      </c>
      <c r="D5" s="4"/>
      <c r="E5" s="8" t="s">
        <v>100</v>
      </c>
      <c r="F5" s="8"/>
      <c r="G5" s="8"/>
      <c r="H5" s="8"/>
      <c r="I5" s="8"/>
      <c r="J5" s="41" t="s">
        <v>101</v>
      </c>
      <c r="K5" s="7" t="s">
        <v>102</v>
      </c>
      <c r="L5" s="4"/>
      <c r="M5" s="4"/>
      <c r="N5" s="4"/>
      <c r="O5" s="4"/>
      <c r="P5" s="4"/>
      <c r="Q5" s="4"/>
    </row>
    <row r="6" ht="15.75" spans="1:17">
      <c r="A6" s="116" t="s">
        <v>103</v>
      </c>
      <c r="B6" s="117"/>
      <c r="C6" s="117"/>
      <c r="D6" s="117"/>
      <c r="E6" s="118"/>
      <c r="F6" s="118"/>
      <c r="G6" s="118"/>
      <c r="H6" s="118"/>
      <c r="I6" s="118"/>
      <c r="J6" s="117"/>
      <c r="K6" s="4"/>
      <c r="L6" s="4"/>
      <c r="M6" s="4"/>
      <c r="N6" s="4"/>
      <c r="O6" s="4"/>
      <c r="P6" s="4"/>
      <c r="Q6" s="4"/>
    </row>
    <row r="7" spans="1:17">
      <c r="A7" t="s">
        <v>104</v>
      </c>
      <c r="B7" s="15">
        <f>'Design Converter'!H7</f>
        <v>3</v>
      </c>
      <c r="C7" t="s">
        <v>7</v>
      </c>
      <c r="E7" t="s">
        <v>105</v>
      </c>
    </row>
    <row r="8" spans="1:17">
      <c r="A8" t="s">
        <v>106</v>
      </c>
      <c r="B8" s="15">
        <f>'Design Converter'!H8</f>
        <v>4</v>
      </c>
      <c r="C8" t="s">
        <v>7</v>
      </c>
      <c r="E8" t="s">
        <v>107</v>
      </c>
      <c r="K8">
        <f>IF(VIN_min&lt;VIN_min,1,IF(VIN_nom&gt;VIN_max,1,0))</f>
        <v>0</v>
      </c>
    </row>
    <row r="9" spans="1:17">
      <c r="A9" t="s">
        <v>108</v>
      </c>
      <c r="B9" s="15">
        <f>'Design Converter'!H9</f>
        <v>12.6</v>
      </c>
      <c r="C9" t="s">
        <v>7</v>
      </c>
      <c r="E9" t="s">
        <v>109</v>
      </c>
    </row>
    <row r="10" customFormat="1" spans="1:17">
      <c r="A10" t="s">
        <v>110</v>
      </c>
      <c r="B10" s="15">
        <f>'Design Converter'!H12*1000</f>
        <v>700000</v>
      </c>
      <c r="C10" t="s">
        <v>111</v>
      </c>
      <c r="E10" t="s">
        <v>112</v>
      </c>
    </row>
    <row r="11" customFormat="1" spans="1:17">
      <c r="A11" t="s">
        <v>113</v>
      </c>
      <c r="B11" s="89">
        <f>(4.503*10^11)*Fsw^-1.26</f>
        <v>19439.2012767176</v>
      </c>
      <c r="C11" s="16" t="s">
        <v>35</v>
      </c>
      <c r="E11" t="s">
        <v>114</v>
      </c>
    </row>
    <row r="13" spans="1:17">
      <c r="A13" t="s">
        <v>115</v>
      </c>
      <c r="B13" s="15">
        <f>'Design Converter'!H10</f>
        <v>10</v>
      </c>
      <c r="C13" t="s">
        <v>7</v>
      </c>
      <c r="E13" t="s">
        <v>116</v>
      </c>
    </row>
    <row r="14" spans="1:17">
      <c r="A14" t="s">
        <v>117</v>
      </c>
      <c r="B14" s="15">
        <f>'Design Converter'!H11</f>
        <v>2</v>
      </c>
      <c r="C14" t="s">
        <v>12</v>
      </c>
      <c r="E14" t="s">
        <v>118</v>
      </c>
    </row>
    <row r="15" spans="1:17">
      <c r="A15" t="s">
        <v>119</v>
      </c>
      <c r="B15" s="12">
        <f>VOUT/IOUT</f>
        <v>5</v>
      </c>
      <c r="C15" s="16" t="s">
        <v>35</v>
      </c>
      <c r="E15" t="s">
        <v>120</v>
      </c>
    </row>
    <row r="16" spans="1:17">
      <c r="A16" t="s">
        <v>121</v>
      </c>
      <c r="B16" s="12">
        <f>VOUT*IOUT</f>
        <v>20</v>
      </c>
      <c r="C16" s="16" t="s">
        <v>18</v>
      </c>
      <c r="E16" t="s">
        <v>122</v>
      </c>
    </row>
    <row r="17" spans="1:11">
      <c r="A17" t="s">
        <v>123</v>
      </c>
      <c r="B17" s="119">
        <v>1</v>
      </c>
      <c r="E17" t="s">
        <v>124</v>
      </c>
    </row>
    <row r="19" spans="1:11">
      <c r="A19" t="s">
        <v>125</v>
      </c>
      <c r="B19" s="12">
        <f>(VOUT)/(VIN_min+VOUT)</f>
        <v>0.769230769230769</v>
      </c>
      <c r="E19" t="s">
        <v>126</v>
      </c>
    </row>
    <row r="20" customFormat="1" spans="1:11">
      <c r="A20" t="s">
        <v>127</v>
      </c>
      <c r="B20" s="10">
        <f>Constants!B20</f>
        <v>0.97</v>
      </c>
      <c r="E20" t="s">
        <v>128</v>
      </c>
    </row>
    <row r="21" customFormat="1" spans="1:11">
      <c r="A21" t="s">
        <v>129</v>
      </c>
      <c r="B21" s="120">
        <f>IF(B19&gt;Dc_max_IC,1,0)</f>
        <v>0</v>
      </c>
      <c r="E21" t="s">
        <v>130</v>
      </c>
      <c r="K21">
        <f>B21</f>
        <v>0</v>
      </c>
    </row>
    <row r="22" customFormat="1" spans="1:11">
      <c r="E22" s="17" t="s">
        <v>131</v>
      </c>
    </row>
    <row r="23" customFormat="1" spans="1:11">
      <c r="E23" s="17"/>
    </row>
    <row r="24" customFormat="1" spans="1:11">
      <c r="A24" t="s">
        <v>132</v>
      </c>
      <c r="B24" s="85">
        <v>1</v>
      </c>
      <c r="E24" s="121" t="s">
        <v>133</v>
      </c>
    </row>
    <row r="26" spans="1:11">
      <c r="A26" s="122" t="s">
        <v>22</v>
      </c>
    </row>
    <row r="27" customFormat="1" spans="1:11">
      <c r="A27" s="123" t="s">
        <v>134</v>
      </c>
      <c r="E27" t="s">
        <v>135</v>
      </c>
    </row>
    <row r="28" spans="1:11">
      <c r="A28" t="s">
        <v>136</v>
      </c>
      <c r="B28" s="15">
        <f>'Design Converter'!H20/100</f>
        <v>0.1</v>
      </c>
      <c r="E28" t="s">
        <v>137</v>
      </c>
    </row>
    <row r="29" customFormat="1" spans="1:11">
      <c r="A29" t="s">
        <v>138</v>
      </c>
      <c r="B29" s="124">
        <f>(VIN_nom^2)/(2*ILrip*IOUT*Fsw*(VIN_nom+VOUT))</f>
        <v>4.08163265306122e-6</v>
      </c>
      <c r="C29" t="s">
        <v>139</v>
      </c>
      <c r="E29" t="s">
        <v>140</v>
      </c>
    </row>
    <row r="31" customFormat="1" spans="1:11">
      <c r="A31" s="125" t="s">
        <v>141</v>
      </c>
      <c r="E31" t="s">
        <v>142</v>
      </c>
    </row>
    <row r="32" customFormat="1" spans="1:11">
      <c r="A32" s="121" t="s">
        <v>143</v>
      </c>
      <c r="B32" s="126">
        <v>0.7</v>
      </c>
      <c r="E32" t="s">
        <v>144</v>
      </c>
    </row>
    <row r="33" customFormat="1" spans="1:5">
      <c r="A33" t="s">
        <v>145</v>
      </c>
      <c r="B33" s="124">
        <f>((DC_DCM_max^2)*(VIN_min^2))/(2*IOUT*VOUT*Fsw-2*IOUT*VIN_min*Fsw)</f>
        <v>2.25e-7</v>
      </c>
      <c r="C33" t="s">
        <v>139</v>
      </c>
      <c r="E33" t="s">
        <v>146</v>
      </c>
    </row>
    <row r="34" customFormat="1" spans="1:5">
      <c r="A34" t="s">
        <v>147</v>
      </c>
      <c r="B34" s="10">
        <v>0.2</v>
      </c>
      <c r="E34" t="s">
        <v>148</v>
      </c>
    </row>
    <row r="35" customFormat="1" spans="1:5">
      <c r="A35" t="s">
        <v>149</v>
      </c>
      <c r="B35" s="124">
        <f>(1-M_L_DCM)*((VIN_min^2)*(1-(VIN_min/VOUT)))/(2*IOUT*VOUT*Fsw)</f>
        <v>1.8e-7</v>
      </c>
      <c r="C35" t="s">
        <v>139</v>
      </c>
      <c r="E35" t="s">
        <v>150</v>
      </c>
    </row>
    <row r="36" customFormat="1" spans="1:5">
      <c r="A36" t="s">
        <v>151</v>
      </c>
      <c r="B36" s="124">
        <f>MIN(B33,B35)</f>
        <v>1.8e-7</v>
      </c>
      <c r="C36" t="s">
        <v>139</v>
      </c>
      <c r="E36" t="s">
        <v>152</v>
      </c>
    </row>
    <row r="37" customFormat="1" spans="1:5">
      <c r="B37" s="127"/>
    </row>
    <row r="38" customFormat="1" spans="1:5">
      <c r="A38" t="s">
        <v>153</v>
      </c>
      <c r="B38" s="124">
        <f>IF(B21=1,B36,Lopt_2)</f>
        <v>4.08163265306122e-6</v>
      </c>
      <c r="E38" t="s">
        <v>154</v>
      </c>
    </row>
    <row r="39" customFormat="1"/>
    <row r="40" spans="1:5">
      <c r="A40" t="s">
        <v>155</v>
      </c>
      <c r="B40" s="128">
        <f>'Design Converter'!H22*10^-6</f>
        <v>4.7e-6</v>
      </c>
      <c r="C40" t="s">
        <v>139</v>
      </c>
      <c r="E40" t="s">
        <v>156</v>
      </c>
    </row>
    <row r="41" customFormat="1" spans="1:5">
      <c r="B41" s="128">
        <f>Lm</f>
        <v>4.7e-6</v>
      </c>
      <c r="E41" t="s">
        <v>157</v>
      </c>
    </row>
    <row r="42" customFormat="1" ht="15.6" customHeight="1" spans="1:5">
      <c r="A42" t="s">
        <v>158</v>
      </c>
      <c r="B42" s="129">
        <f>Lm</f>
        <v>4.7e-6</v>
      </c>
      <c r="E42" t="s">
        <v>159</v>
      </c>
    </row>
    <row r="43" customFormat="1" ht="15.6" customHeight="1" spans="1:5">
      <c r="B43" s="128">
        <f>Lm</f>
        <v>4.7e-6</v>
      </c>
      <c r="E43" t="s">
        <v>157</v>
      </c>
    </row>
    <row r="44" customFormat="1" spans="1:5">
      <c r="A44" t="s">
        <v>160</v>
      </c>
      <c r="B44" s="129">
        <f>Lm</f>
        <v>4.7e-6</v>
      </c>
      <c r="E44" t="s">
        <v>161</v>
      </c>
    </row>
    <row r="45" customFormat="1" spans="1:5">
      <c r="B45" s="129"/>
    </row>
    <row r="46" spans="1:5">
      <c r="A46" t="s">
        <v>162</v>
      </c>
      <c r="B46" s="15">
        <f>10*10^-3</f>
        <v>0.01</v>
      </c>
      <c r="C46" s="16" t="s">
        <v>35</v>
      </c>
      <c r="E46" t="s">
        <v>163</v>
      </c>
    </row>
    <row r="47" customFormat="1" spans="1:5">
      <c r="A47" t="s">
        <v>164</v>
      </c>
      <c r="B47" s="10">
        <v>0.2</v>
      </c>
      <c r="C47" s="16"/>
      <c r="E47" t="s">
        <v>165</v>
      </c>
    </row>
    <row r="48" spans="1:5">
      <c r="B48" t="s">
        <v>166</v>
      </c>
    </row>
    <row r="49" customFormat="1" spans="1:5">
      <c r="A49" s="17" t="s">
        <v>167</v>
      </c>
    </row>
    <row r="50" customFormat="1"/>
    <row r="51" customFormat="1" spans="1:5">
      <c r="A51" s="130" t="s">
        <v>168</v>
      </c>
    </row>
    <row r="52" customFormat="1" spans="1:5">
      <c r="A52" t="s">
        <v>169</v>
      </c>
      <c r="B52">
        <v>1</v>
      </c>
      <c r="E52" t="s">
        <v>170</v>
      </c>
    </row>
    <row r="53" customFormat="1" spans="1:5">
      <c r="A53" t="s">
        <v>171</v>
      </c>
      <c r="B53" s="131">
        <f>IF(B52=0,SQRT((2*IOUT*Lm*Fsw*VOUT/(VIN_min^2))),(VOUT/(VIN_min+VOUT)))</f>
        <v>0.769230769230769</v>
      </c>
      <c r="E53" t="s">
        <v>172</v>
      </c>
    </row>
    <row r="54" customFormat="1" spans="1:5">
      <c r="B54" s="11">
        <f>B53/Fsw</f>
        <v>1.0989010989011e-6</v>
      </c>
      <c r="C54" t="s">
        <v>173</v>
      </c>
      <c r="E54" t="s">
        <v>174</v>
      </c>
    </row>
    <row r="55" customFormat="1" spans="1:5">
      <c r="A55" s="132" t="s">
        <v>175</v>
      </c>
      <c r="B55" s="133"/>
    </row>
    <row r="56" customFormat="1" spans="1:5">
      <c r="A56" t="s">
        <v>176</v>
      </c>
      <c r="B56" s="90">
        <f>(VOUT*IOUT)/(VIN_min)</f>
        <v>6.66666666666667</v>
      </c>
      <c r="C56" t="s">
        <v>12</v>
      </c>
      <c r="E56" t="s">
        <v>177</v>
      </c>
    </row>
    <row r="57" customFormat="1" spans="1:5">
      <c r="A57" t="s">
        <v>178</v>
      </c>
      <c r="B57" s="88">
        <f>(VIN_min*Dc_VIN_min)/(Lm_A*Fsw)</f>
        <v>0.701426233341127</v>
      </c>
      <c r="C57" t="s">
        <v>12</v>
      </c>
      <c r="E57" t="s">
        <v>179</v>
      </c>
    </row>
    <row r="58" spans="1:5">
      <c r="A58" t="s">
        <v>180</v>
      </c>
      <c r="B58" s="88">
        <f>IF(B52=0,(VIN_min*Dc_VIN_min)/(Lm*Fsw),(ILA_avg_VIN_min/EFF_est)+(ILArip_VINmin/2))</f>
        <v>7.01737978333723</v>
      </c>
      <c r="C58" t="s">
        <v>12</v>
      </c>
      <c r="E58" t="s">
        <v>181</v>
      </c>
    </row>
    <row r="59" customFormat="1" spans="1:5">
      <c r="B59" s="11"/>
    </row>
    <row r="60" customFormat="1" spans="1:5">
      <c r="A60" s="132" t="s">
        <v>182</v>
      </c>
      <c r="B60" s="11"/>
      <c r="E60" t="s">
        <v>183</v>
      </c>
    </row>
    <row r="61" customFormat="1" spans="1:5">
      <c r="A61" t="s">
        <v>184</v>
      </c>
      <c r="B61" s="11">
        <f>IOUT</f>
        <v>2</v>
      </c>
      <c r="C61" t="s">
        <v>12</v>
      </c>
    </row>
    <row r="62" customFormat="1" spans="1:5">
      <c r="A62" t="s">
        <v>185</v>
      </c>
      <c r="B62" s="11">
        <f>(VIN_min*Dc_VIN_min)/(Lm*Fsw)</f>
        <v>0.701426233341127</v>
      </c>
      <c r="C62" t="s">
        <v>12</v>
      </c>
    </row>
    <row r="63" customFormat="1" spans="1:5">
      <c r="A63" t="s">
        <v>186</v>
      </c>
      <c r="B63" s="11">
        <f>B61+B62/2</f>
        <v>2.35071311667056</v>
      </c>
      <c r="C63" t="s">
        <v>12</v>
      </c>
    </row>
    <row r="64" customFormat="1" spans="1:5">
      <c r="B64" s="88"/>
    </row>
    <row r="65" customFormat="1" spans="1:5">
      <c r="A65" s="132" t="s">
        <v>187</v>
      </c>
      <c r="B65" s="134"/>
    </row>
    <row r="66" customFormat="1" spans="1:5">
      <c r="A66" t="s">
        <v>188</v>
      </c>
      <c r="B66" s="88">
        <f>ILA_avg_VIN_min+B61+B62</f>
        <v>9.3680929000078</v>
      </c>
      <c r="C66" t="s">
        <v>12</v>
      </c>
    </row>
    <row r="67" customFormat="1" spans="1:5">
      <c r="B67" s="134"/>
    </row>
    <row r="68" customFormat="1" spans="1:5">
      <c r="A68" s="130" t="s">
        <v>107</v>
      </c>
      <c r="B68" s="13"/>
    </row>
    <row r="69" customFormat="1" spans="1:5">
      <c r="A69" t="s">
        <v>189</v>
      </c>
      <c r="B69">
        <f>IF(((VIN_nom^2)*VOUT)/(2*Fsw*Lm*((VIN_nom+VOUT)^2))&gt;IOUT,0,1)</f>
        <v>1</v>
      </c>
      <c r="E69" t="s">
        <v>190</v>
      </c>
    </row>
    <row r="70" customFormat="1" spans="1:5">
      <c r="A70" t="s">
        <v>191</v>
      </c>
      <c r="B70" s="12">
        <f>IF(B52=0,SQRT((2*IOUT*Lm*Fsw*VOUT/(VIN_nom^2))),(VOUT/(VIN_nom+VOUT)))</f>
        <v>0.714285714285714</v>
      </c>
      <c r="E70" t="s">
        <v>192</v>
      </c>
    </row>
    <row r="71" customFormat="1" spans="1:5">
      <c r="B71" s="11">
        <f>B70/Fsw</f>
        <v>1.02040816326531e-6</v>
      </c>
      <c r="C71" t="s">
        <v>173</v>
      </c>
      <c r="E71" t="s">
        <v>174</v>
      </c>
    </row>
    <row r="72" customFormat="1" spans="1:5">
      <c r="A72" s="132" t="s">
        <v>175</v>
      </c>
      <c r="B72" s="133"/>
    </row>
    <row r="73" customFormat="1" spans="1:5">
      <c r="A73" t="s">
        <v>193</v>
      </c>
      <c r="B73" s="90">
        <f>(VOUT*IOUT)/(VIN_nom)</f>
        <v>5</v>
      </c>
      <c r="C73" t="s">
        <v>12</v>
      </c>
      <c r="E73" t="s">
        <v>194</v>
      </c>
    </row>
    <row r="74" spans="1:5">
      <c r="A74" t="s">
        <v>195</v>
      </c>
      <c r="B74" s="88">
        <f>(VIN_nom*Dc_VIN_nom)/(Lm*Fsw)</f>
        <v>0.868432479374729</v>
      </c>
      <c r="C74" t="s">
        <v>12</v>
      </c>
      <c r="E74" t="s">
        <v>196</v>
      </c>
    </row>
    <row r="75" spans="1:5">
      <c r="A75" t="s">
        <v>197</v>
      </c>
      <c r="B75" s="88">
        <f>IF(B69=0,(VIN_nom*Dc_VIN_nom)/(Lm*Fsw),(ILA_avg_VIN_nom/EFF_est)+(ILArip_VINnom/2))</f>
        <v>5.43421623968736</v>
      </c>
      <c r="C75" t="s">
        <v>12</v>
      </c>
      <c r="E75" t="s">
        <v>198</v>
      </c>
    </row>
    <row r="76" customFormat="1" spans="1:5">
      <c r="B76" s="134"/>
    </row>
    <row r="77" customFormat="1" spans="1:5">
      <c r="A77" s="132" t="s">
        <v>182</v>
      </c>
      <c r="B77" s="133"/>
    </row>
    <row r="78" customFormat="1" spans="1:5">
      <c r="A78" t="s">
        <v>199</v>
      </c>
      <c r="B78" s="11">
        <f>IOUT</f>
        <v>2</v>
      </c>
      <c r="C78" t="s">
        <v>12</v>
      </c>
      <c r="E78" t="s">
        <v>183</v>
      </c>
    </row>
    <row r="79" customFormat="1" spans="1:5">
      <c r="A79" t="s">
        <v>200</v>
      </c>
      <c r="B79" s="11">
        <f>(VIN_nom*Dc_VIN_nom)/(Lm*Fsw)</f>
        <v>0.868432479374729</v>
      </c>
      <c r="C79" t="s">
        <v>12</v>
      </c>
    </row>
    <row r="80" customFormat="1" spans="1:5">
      <c r="A80" t="s">
        <v>201</v>
      </c>
      <c r="B80" s="11">
        <f>B78+B79/2</f>
        <v>2.43421623968736</v>
      </c>
      <c r="C80" t="s">
        <v>12</v>
      </c>
    </row>
    <row r="81" customFormat="1" spans="1:5">
      <c r="B81" s="134"/>
    </row>
    <row r="82" customFormat="1" spans="1:5">
      <c r="A82" s="132" t="s">
        <v>187</v>
      </c>
      <c r="B82" s="134"/>
    </row>
    <row r="83" customFormat="1" spans="1:5">
      <c r="A83" t="s">
        <v>202</v>
      </c>
      <c r="B83" s="88">
        <f>ILA_avg_VIN_nom+B78+B79</f>
        <v>7.86843247937473</v>
      </c>
      <c r="C83" t="s">
        <v>12</v>
      </c>
    </row>
    <row r="84" customFormat="1" spans="1:5">
      <c r="B84" s="13"/>
    </row>
    <row r="85" customFormat="1" spans="1:5">
      <c r="A85" s="130" t="s">
        <v>109</v>
      </c>
      <c r="B85" s="13"/>
    </row>
    <row r="86" customFormat="1" spans="1:5">
      <c r="A86" t="s">
        <v>203</v>
      </c>
      <c r="B86">
        <f>IF(((VIN_nom^2)*VOUT)/(2*Fsw*Lm*((VIN_nom+VOUT)^2))&gt;IOUT,0,1)</f>
        <v>1</v>
      </c>
      <c r="E86" t="s">
        <v>190</v>
      </c>
    </row>
    <row r="87" customFormat="1" spans="1:5">
      <c r="A87" t="s">
        <v>204</v>
      </c>
      <c r="B87" s="12">
        <f>IF(B86=0,SQRT((2*IOUT*Lm*Fsw*VOUT/(VIN_max^2))),(VOUT/(VIN_max+VOUT)))</f>
        <v>0.442477876106195</v>
      </c>
      <c r="E87" t="s">
        <v>205</v>
      </c>
    </row>
    <row r="88" customFormat="1" spans="1:5">
      <c r="B88" s="11">
        <f>B87/Fsw</f>
        <v>6.32111251580278e-7</v>
      </c>
      <c r="C88" t="s">
        <v>173</v>
      </c>
      <c r="E88" t="s">
        <v>174</v>
      </c>
    </row>
    <row r="89" customFormat="1" spans="1:5">
      <c r="A89" s="132" t="s">
        <v>175</v>
      </c>
      <c r="B89" s="133"/>
    </row>
    <row r="90" customFormat="1" spans="1:5">
      <c r="A90" t="s">
        <v>206</v>
      </c>
      <c r="B90" s="90">
        <f>(VOUT*IOUT)/(VIN_max)</f>
        <v>1.58730158730159</v>
      </c>
      <c r="C90" t="s">
        <v>12</v>
      </c>
      <c r="E90" t="s">
        <v>207</v>
      </c>
    </row>
    <row r="91" spans="1:5">
      <c r="A91" t="s">
        <v>208</v>
      </c>
      <c r="B91" s="88">
        <f>(VIN_max*Dc_VIN_max)/(Lm*Fsw)</f>
        <v>1.69459612125777</v>
      </c>
      <c r="C91" t="s">
        <v>12</v>
      </c>
      <c r="E91" t="s">
        <v>209</v>
      </c>
    </row>
    <row r="92" spans="1:5">
      <c r="A92" t="s">
        <v>210</v>
      </c>
      <c r="B92" s="88">
        <f>ILA_avg_VIN_max+ILArip_VINmax/2</f>
        <v>2.43459964793047</v>
      </c>
      <c r="C92" t="s">
        <v>12</v>
      </c>
      <c r="E92" t="s">
        <v>211</v>
      </c>
    </row>
    <row r="94" customFormat="1" spans="1:5">
      <c r="A94" s="132" t="s">
        <v>182</v>
      </c>
      <c r="B94" s="133"/>
      <c r="E94" t="s">
        <v>183</v>
      </c>
    </row>
    <row r="95" customFormat="1" spans="1:5">
      <c r="A95" t="s">
        <v>212</v>
      </c>
      <c r="B95" s="11">
        <f>IOUT</f>
        <v>2</v>
      </c>
      <c r="C95" t="s">
        <v>12</v>
      </c>
    </row>
    <row r="96" customFormat="1" spans="1:5">
      <c r="A96" t="s">
        <v>213</v>
      </c>
      <c r="B96" s="11">
        <f>(VIN_max*Dc_VIN_max)/(Lm*Fsw)</f>
        <v>1.69459612125777</v>
      </c>
      <c r="C96" t="s">
        <v>12</v>
      </c>
    </row>
    <row r="97" customFormat="1" spans="1:5">
      <c r="A97" t="s">
        <v>214</v>
      </c>
      <c r="B97" s="11">
        <f>B95+B96/2</f>
        <v>2.84729806062888</v>
      </c>
      <c r="C97" t="s">
        <v>12</v>
      </c>
    </row>
    <row r="98" customFormat="1" spans="1:5">
      <c r="B98" s="88"/>
    </row>
    <row r="99" customFormat="1" spans="1:5">
      <c r="A99" s="132" t="s">
        <v>187</v>
      </c>
      <c r="B99" s="134"/>
    </row>
    <row r="100" customFormat="1" spans="1:5">
      <c r="A100" t="s">
        <v>215</v>
      </c>
      <c r="B100" s="88">
        <f>ILA_avg_VIN_max+B95+B96</f>
        <v>5.28189770855935</v>
      </c>
      <c r="C100" t="s">
        <v>12</v>
      </c>
    </row>
    <row r="101" customFormat="1" spans="1:5">
      <c r="B101" s="134"/>
    </row>
    <row r="102" spans="1:5">
      <c r="A102" s="122" t="s">
        <v>216</v>
      </c>
    </row>
    <row r="103" spans="1:5">
      <c r="A103" t="s">
        <v>217</v>
      </c>
      <c r="B103" s="15">
        <f>'Design Converter'!H26/100</f>
        <v>0.3</v>
      </c>
      <c r="E103" t="s">
        <v>218</v>
      </c>
    </row>
    <row r="104" spans="1:5">
      <c r="A104" t="s">
        <v>219</v>
      </c>
      <c r="B104" s="90">
        <f>(1+Ipk_margin)*ISW_peak_VIN_min</f>
        <v>12.1785207700101</v>
      </c>
      <c r="C104" t="s">
        <v>12</v>
      </c>
      <c r="E104" t="s">
        <v>220</v>
      </c>
    </row>
    <row r="105" customFormat="1" spans="1:5">
      <c r="B105" s="135"/>
    </row>
    <row r="106" customFormat="1" spans="1:5">
      <c r="A106" t="s">
        <v>221</v>
      </c>
      <c r="B106" s="10">
        <v>0.6</v>
      </c>
      <c r="E106" t="s">
        <v>222</v>
      </c>
    </row>
    <row r="107" spans="1:5">
      <c r="A107" t="s">
        <v>223</v>
      </c>
      <c r="B107" s="124">
        <f>(1/B106)*((Fsw*Isl*Rsl_int*Lm)/(VOUT))</f>
        <v>0.0471566666666667</v>
      </c>
      <c r="C107" s="16" t="s">
        <v>35</v>
      </c>
      <c r="E107" t="s">
        <v>224</v>
      </c>
    </row>
    <row r="108" spans="1:5">
      <c r="A108" t="s">
        <v>225</v>
      </c>
      <c r="B108" s="124">
        <f>Vcl/Ipk_selected</f>
        <v>0.0128094374469643</v>
      </c>
      <c r="C108" s="16" t="s">
        <v>35</v>
      </c>
      <c r="E108" t="s">
        <v>226</v>
      </c>
    </row>
    <row r="109" customFormat="1" spans="1:5">
      <c r="B109" s="13"/>
    </row>
    <row r="110" customFormat="1" spans="1:5">
      <c r="A110" t="s">
        <v>227</v>
      </c>
      <c r="B110" s="10">
        <v>0.833</v>
      </c>
      <c r="E110" t="s">
        <v>228</v>
      </c>
    </row>
    <row r="111" spans="1:5">
      <c r="A111" t="s">
        <v>229</v>
      </c>
      <c r="B111" s="136">
        <f>(Lm*Fsw*(Vcl+(Dc_VIN_min*Isl*Rsl_int)))/((Dc_VIN_min*Kslope*VOUT)+(Ipk_selected*Lm*Fsw))</f>
        <v>0.0157264282002024</v>
      </c>
      <c r="C111" s="16" t="s">
        <v>35</v>
      </c>
      <c r="E111" t="s">
        <v>230</v>
      </c>
    </row>
    <row r="112" spans="1:5">
      <c r="A112" t="s">
        <v>231</v>
      </c>
      <c r="B112" s="88">
        <f>(Vcl-(Ipk_selected*Rcs_w_sl))/(Isl*Dc_VIN_min)</f>
        <v>-1074.000516663</v>
      </c>
      <c r="C112" s="16" t="s">
        <v>35</v>
      </c>
      <c r="E112" t="s">
        <v>232</v>
      </c>
    </row>
    <row r="114" spans="1:11">
      <c r="A114" t="s">
        <v>233</v>
      </c>
      <c r="B114" s="12">
        <f>IF(Rcs_wo_sl&gt;Rcs_max,1,0)</f>
        <v>0</v>
      </c>
      <c r="E114" t="s">
        <v>234</v>
      </c>
    </row>
    <row r="115" spans="1:11">
      <c r="A115" t="s">
        <v>235</v>
      </c>
      <c r="B115" s="137">
        <f>IF(B52=0,Rcs_wo_sl,IF(B114=0,Rcs_wo_sl,Rcs_w_sl))</f>
        <v>0.0128094374469643</v>
      </c>
      <c r="C115" s="16" t="s">
        <v>35</v>
      </c>
      <c r="E115" t="s">
        <v>236</v>
      </c>
    </row>
    <row r="116" spans="1:11">
      <c r="A116" t="s">
        <v>237</v>
      </c>
      <c r="B116" s="12">
        <f>IF(B52=0,0,IF(B114=0,0,B112))</f>
        <v>0</v>
      </c>
      <c r="C116" s="16" t="s">
        <v>35</v>
      </c>
      <c r="E116" t="s">
        <v>238</v>
      </c>
    </row>
    <row r="118" spans="1:11">
      <c r="A118" t="s">
        <v>239</v>
      </c>
      <c r="B118" s="138">
        <f>'Design Converter'!H30/1000</f>
        <v>0.01</v>
      </c>
      <c r="C118" s="16" t="s">
        <v>35</v>
      </c>
      <c r="E118" t="s">
        <v>240</v>
      </c>
    </row>
    <row r="119" spans="1:11">
      <c r="A119" t="s">
        <v>241</v>
      </c>
      <c r="B119" s="15">
        <f>'Design Converter'!H31</f>
        <v>0</v>
      </c>
      <c r="C119" s="16" t="s">
        <v>35</v>
      </c>
      <c r="E119" t="s">
        <v>242</v>
      </c>
    </row>
    <row r="121" spans="1:11">
      <c r="A121" t="s">
        <v>243</v>
      </c>
      <c r="B121" s="12">
        <f>(Isl*(Rsl_int+R_sl)*Fsw)/(((VOUT-VIN_min)/Lm)*R_cs)</f>
        <v>4.042</v>
      </c>
      <c r="C121" t="s">
        <v>244</v>
      </c>
      <c r="E121" t="s">
        <v>245</v>
      </c>
      <c r="K121">
        <f>IF(B69=0,0,IF(B121&lt;0.5,1,0))</f>
        <v>0</v>
      </c>
    </row>
    <row r="122" customFormat="1" spans="1:11">
      <c r="A122" t="s">
        <v>246</v>
      </c>
      <c r="B122" s="90">
        <f>(Vcl-(Isl*R_sl*Dc_VIN_min))/R_cs</f>
        <v>15.6</v>
      </c>
      <c r="C122" t="s">
        <v>12</v>
      </c>
      <c r="E122" t="s">
        <v>247</v>
      </c>
      <c r="K122">
        <f>IF(IL_pk&lt;Ipk_selected,1,0)</f>
        <v>0</v>
      </c>
    </row>
    <row r="123" spans="1:11">
      <c r="A123" t="s">
        <v>248</v>
      </c>
      <c r="B123" s="90">
        <f>(Vcl-(Isl*R_sl*Dc_VIN_max))/R_cs</f>
        <v>15.6</v>
      </c>
      <c r="C123" t="s">
        <v>12</v>
      </c>
      <c r="E123" t="s">
        <v>249</v>
      </c>
    </row>
    <row r="124" spans="1:11">
      <c r="A124" t="s">
        <v>250</v>
      </c>
      <c r="B124" s="12">
        <f>0.15</f>
        <v>0.15</v>
      </c>
      <c r="E124" t="s">
        <v>251</v>
      </c>
    </row>
    <row r="125" spans="1:11">
      <c r="A125" t="s">
        <v>252</v>
      </c>
      <c r="B125" s="88">
        <f>(1+B124)*B123</f>
        <v>17.94</v>
      </c>
      <c r="C125" t="s">
        <v>12</v>
      </c>
      <c r="E125" t="s">
        <v>253</v>
      </c>
    </row>
    <row r="127" spans="1:11">
      <c r="A127" s="130" t="s">
        <v>254</v>
      </c>
    </row>
    <row r="129" customFormat="1" spans="1:5">
      <c r="A129" s="139" t="s">
        <v>255</v>
      </c>
    </row>
    <row r="130" customFormat="1" spans="1:5">
      <c r="A130" t="s">
        <v>256</v>
      </c>
      <c r="B130" s="10">
        <v>0.05</v>
      </c>
    </row>
    <row r="131" customFormat="1" spans="1:5">
      <c r="A131" t="s">
        <v>257</v>
      </c>
      <c r="B131" s="12">
        <f>IOUT*Dc_VIN_min/(VIN_max*VCrr*Fsw)</f>
        <v>3.48857491714635e-6</v>
      </c>
      <c r="C131" t="s">
        <v>258</v>
      </c>
      <c r="E131" t="s">
        <v>259</v>
      </c>
    </row>
    <row r="132" customFormat="1" spans="1:5">
      <c r="A132" t="s">
        <v>260</v>
      </c>
      <c r="B132" s="85">
        <f>'Design Converter'!H36*(10^-6)</f>
        <v>1e-5</v>
      </c>
      <c r="C132" t="s">
        <v>258</v>
      </c>
      <c r="E132" t="s">
        <v>261</v>
      </c>
    </row>
    <row r="133" customFormat="1" spans="1:5">
      <c r="A133" t="s">
        <v>262</v>
      </c>
      <c r="B133" s="90">
        <f>(IOUT*Dc_VIN_min)/(Cac*Fsw)</f>
        <v>0.21978021978022</v>
      </c>
      <c r="C133" t="s">
        <v>7</v>
      </c>
      <c r="E133" t="s">
        <v>263</v>
      </c>
    </row>
    <row r="134" customFormat="1" spans="1:5">
      <c r="A134" t="s">
        <v>264</v>
      </c>
      <c r="B134" s="90">
        <f>IOUT*SQRT(VOUT/VIN_min)</f>
        <v>3.65148371670111</v>
      </c>
      <c r="C134" t="s">
        <v>12</v>
      </c>
      <c r="E134" t="s">
        <v>265</v>
      </c>
    </row>
    <row r="135" customFormat="1"/>
    <row r="137" spans="1:5">
      <c r="A137" s="139" t="s">
        <v>44</v>
      </c>
      <c r="E137" t="s">
        <v>266</v>
      </c>
    </row>
    <row r="139" customFormat="1" spans="1:5">
      <c r="A139" t="s">
        <v>267</v>
      </c>
      <c r="B139" s="12">
        <f>IF(B52=0,Fsw/20,(((VOUT/IOUT)*((1-Dc_VIN_min)^2))/(Lm*Dc_VIN_min))/6)</f>
        <v>12274.9590834697</v>
      </c>
      <c r="C139" t="s">
        <v>268</v>
      </c>
      <c r="E139" t="s">
        <v>269</v>
      </c>
    </row>
    <row r="140" spans="1:5">
      <c r="A140" t="s">
        <v>270</v>
      </c>
      <c r="B140" s="85">
        <f>'Design Converter'!H40/1000</f>
        <v>0.5</v>
      </c>
      <c r="C140" t="s">
        <v>7</v>
      </c>
      <c r="E140" t="s">
        <v>271</v>
      </c>
    </row>
    <row r="141" customFormat="1" spans="1:5">
      <c r="A141" t="s">
        <v>272</v>
      </c>
      <c r="B141" s="12">
        <f>IOUT-0.5*IOUT</f>
        <v>1</v>
      </c>
      <c r="C141" t="s">
        <v>12</v>
      </c>
    </row>
    <row r="142" spans="1:5">
      <c r="A142" t="s">
        <v>273</v>
      </c>
      <c r="B142" s="12">
        <f>B141/(Vout_rip_sel*B139)</f>
        <v>0.000162933333333333</v>
      </c>
      <c r="C142" t="s">
        <v>258</v>
      </c>
      <c r="E142" t="s">
        <v>274</v>
      </c>
    </row>
    <row r="143" spans="1:5">
      <c r="A143" t="s">
        <v>275</v>
      </c>
      <c r="B143" s="88">
        <f>IOUT*SQRT(VOUT/VIN_min)</f>
        <v>3.65148371670111</v>
      </c>
      <c r="C143" t="s">
        <v>12</v>
      </c>
      <c r="E143" t="s">
        <v>276</v>
      </c>
    </row>
    <row r="144" spans="1:5">
      <c r="A144" t="s">
        <v>277</v>
      </c>
      <c r="B144" s="15">
        <f>'Design Converter'!H43*(10^-6)</f>
        <v>0.00056</v>
      </c>
      <c r="C144" t="s">
        <v>258</v>
      </c>
      <c r="E144" t="s">
        <v>278</v>
      </c>
    </row>
    <row r="145" spans="1:6">
      <c r="A145" t="s">
        <v>279</v>
      </c>
      <c r="B145" s="15">
        <f>'Design Converter'!H44/1000</f>
        <v>0.028</v>
      </c>
      <c r="C145" s="16" t="s">
        <v>35</v>
      </c>
      <c r="E145" t="s">
        <v>280</v>
      </c>
    </row>
    <row r="146" customFormat="1"/>
    <row r="147" customFormat="1" spans="1:6">
      <c r="A147" s="139" t="s">
        <v>281</v>
      </c>
    </row>
    <row r="148" customFormat="1" spans="1:6">
      <c r="A148" t="s">
        <v>282</v>
      </c>
      <c r="B148" s="10">
        <f>Iss</f>
        <v>4</v>
      </c>
      <c r="C148" t="s">
        <v>283</v>
      </c>
      <c r="E148" t="s">
        <v>284</v>
      </c>
    </row>
    <row r="149" customFormat="1" spans="1:6">
      <c r="A149" s="140"/>
      <c r="B149" s="140"/>
      <c r="C149" s="140"/>
      <c r="D149" s="140"/>
      <c r="E149" s="140"/>
      <c r="F149" s="140"/>
    </row>
    <row r="150" customFormat="1" spans="1:6">
      <c r="A150" s="140"/>
      <c r="B150" s="140"/>
      <c r="C150" s="140"/>
      <c r="D150" s="140"/>
      <c r="E150" s="140"/>
      <c r="F150" s="140"/>
    </row>
    <row r="151" customFormat="1" spans="1:6">
      <c r="A151" s="140"/>
      <c r="B151" s="140"/>
      <c r="C151" s="140"/>
      <c r="D151" s="140"/>
      <c r="E151" s="140"/>
      <c r="F151" s="140"/>
    </row>
    <row r="152" customFormat="1"/>
    <row r="153" customFormat="1" spans="1:6">
      <c r="A153" s="139" t="s">
        <v>285</v>
      </c>
    </row>
    <row r="154" customFormat="1" spans="1:6">
      <c r="A154" s="13" t="s">
        <v>286</v>
      </c>
      <c r="B154" s="13"/>
      <c r="C154" s="13"/>
      <c r="D154" s="13"/>
      <c r="E154" s="13"/>
    </row>
    <row r="155" customFormat="1" spans="1:6">
      <c r="A155" s="13"/>
      <c r="B155" s="13"/>
      <c r="C155" s="13"/>
      <c r="D155" s="13"/>
      <c r="E155" s="13"/>
    </row>
    <row r="156" customFormat="1" spans="1:6">
      <c r="A156" s="13"/>
      <c r="B156" s="13"/>
      <c r="C156" s="13"/>
      <c r="D156" s="13"/>
      <c r="E156" s="13"/>
    </row>
    <row r="157" customFormat="1" spans="1:6">
      <c r="A157" s="13"/>
      <c r="B157" s="13"/>
      <c r="C157" s="13"/>
      <c r="D157" s="13"/>
      <c r="E157" s="13"/>
    </row>
    <row r="158" customFormat="1" spans="1:6">
      <c r="A158" s="13"/>
      <c r="B158" s="13"/>
      <c r="C158" s="13"/>
      <c r="D158" s="13"/>
      <c r="E158" s="13"/>
    </row>
    <row r="159" customFormat="1" spans="1:6">
      <c r="A159" s="13"/>
      <c r="B159" s="141"/>
      <c r="C159" s="142"/>
      <c r="D159" s="13"/>
      <c r="E159" s="13"/>
    </row>
    <row r="160" customFormat="1" spans="1:6">
      <c r="A160" s="13"/>
      <c r="B160" s="13"/>
      <c r="C160" s="142"/>
      <c r="D160" s="13"/>
      <c r="E160" s="13"/>
    </row>
    <row r="161" customFormat="1" spans="1:5">
      <c r="A161" s="13"/>
      <c r="B161" s="141"/>
      <c r="C161" s="142"/>
      <c r="D161" s="13"/>
      <c r="E161" s="13"/>
    </row>
    <row r="162" customFormat="1" spans="1:5">
      <c r="A162" s="13"/>
      <c r="B162" s="135"/>
      <c r="C162" s="13"/>
      <c r="D162" s="13"/>
      <c r="E162" s="13"/>
    </row>
    <row r="163" customFormat="1" spans="1:5">
      <c r="A163" s="13"/>
      <c r="B163" s="135"/>
      <c r="C163" s="13"/>
      <c r="D163" s="13"/>
      <c r="E163" s="13"/>
    </row>
    <row r="164" customFormat="1"/>
    <row r="165" customFormat="1"/>
    <row r="166" spans="1:5">
      <c r="A166" s="139" t="s">
        <v>287</v>
      </c>
    </row>
    <row r="167" customFormat="1" spans="1:5">
      <c r="A167" s="143" t="s">
        <v>288</v>
      </c>
      <c r="B167" s="15" t="str">
        <f>'Design Converter'!H59</f>
        <v>4V</v>
      </c>
      <c r="C167" t="s">
        <v>7</v>
      </c>
      <c r="E167" t="s">
        <v>289</v>
      </c>
    </row>
    <row r="168" customFormat="1" spans="1:5">
      <c r="A168" s="143"/>
      <c r="B168" s="13"/>
    </row>
    <row r="169" spans="1:5">
      <c r="A169" s="17" t="s">
        <v>290</v>
      </c>
    </row>
    <row r="170" customFormat="1" spans="1:5">
      <c r="A170" t="s">
        <v>291</v>
      </c>
      <c r="B170" s="15">
        <f>'Design Converter'!H62*(10^3)</f>
        <v>15000</v>
      </c>
      <c r="C170" s="16" t="s">
        <v>35</v>
      </c>
      <c r="E170" t="s">
        <v>292</v>
      </c>
    </row>
    <row r="171" customFormat="1" spans="1:5">
      <c r="A171" t="s">
        <v>293</v>
      </c>
      <c r="B171" s="89">
        <f>(RFBT*Vref)/(VOUT-Vref)</f>
        <v>2162.47139588101</v>
      </c>
      <c r="C171" s="16" t="s">
        <v>35</v>
      </c>
      <c r="E171" t="s">
        <v>294</v>
      </c>
    </row>
    <row r="172" spans="1:5">
      <c r="A172" t="s">
        <v>295</v>
      </c>
      <c r="B172" s="15">
        <f>'Design Converter'!H64*(10^3)</f>
        <v>2160</v>
      </c>
      <c r="C172" s="16" t="s">
        <v>35</v>
      </c>
      <c r="E172" t="s">
        <v>296</v>
      </c>
    </row>
    <row r="173" spans="1:5">
      <c r="A173" t="s">
        <v>297</v>
      </c>
      <c r="B173" s="12">
        <f>VOUT/(RFBB+RFBT)</f>
        <v>0.000582750582750583</v>
      </c>
      <c r="C173" s="16" t="s">
        <v>12</v>
      </c>
      <c r="E173" t="s">
        <v>298</v>
      </c>
    </row>
    <row r="174" customFormat="1" spans="1:5">
      <c r="B174" s="13"/>
      <c r="C174" s="16"/>
    </row>
    <row r="175" customFormat="1" spans="1:5">
      <c r="A175" s="17" t="s">
        <v>299</v>
      </c>
      <c r="E175" t="s">
        <v>300</v>
      </c>
    </row>
    <row r="176" customFormat="1"/>
    <row r="177" customFormat="1" spans="1:5">
      <c r="A177" s="130" t="s">
        <v>301</v>
      </c>
    </row>
    <row r="178" customFormat="1" spans="1:5">
      <c r="A178" t="s">
        <v>302</v>
      </c>
      <c r="B178">
        <f>(Gcomp*(VOUT/IOUT)*(1-Dc_VIN_min))/(R_cs*Acs*(1+Dc_VIN_min))</f>
        <v>58.695652173913</v>
      </c>
    </row>
    <row r="179" customFormat="1"/>
    <row r="180" customFormat="1" spans="1:5">
      <c r="A180" t="s">
        <v>303</v>
      </c>
      <c r="B180" s="10">
        <f>(1+Dc_VIN_min)/(Cout*(VOUT/IOUT))</f>
        <v>631.868131868132</v>
      </c>
      <c r="C180" t="s">
        <v>304</v>
      </c>
      <c r="E180" t="s">
        <v>305</v>
      </c>
    </row>
    <row r="181" customFormat="1" spans="1:5">
      <c r="A181" t="s">
        <v>306</v>
      </c>
      <c r="B181" s="12">
        <f>B180/(2*PI())</f>
        <v>100.564936569055</v>
      </c>
      <c r="C181" t="s">
        <v>111</v>
      </c>
      <c r="E181" t="s">
        <v>307</v>
      </c>
    </row>
    <row r="182" customFormat="1" spans="1:5">
      <c r="B182" s="13"/>
    </row>
    <row r="183" customFormat="1" spans="1:5">
      <c r="A183" t="s">
        <v>308</v>
      </c>
      <c r="B183" s="10">
        <f>1/(Cout*Resr)</f>
        <v>63775.5102040816</v>
      </c>
      <c r="C183" t="s">
        <v>309</v>
      </c>
      <c r="E183" t="s">
        <v>310</v>
      </c>
    </row>
    <row r="184" customFormat="1" spans="1:5">
      <c r="A184" t="s">
        <v>311</v>
      </c>
      <c r="B184" s="12">
        <f>B183/(2*PI())</f>
        <v>10150.1876971872</v>
      </c>
      <c r="C184" t="s">
        <v>111</v>
      </c>
      <c r="E184" t="s">
        <v>312</v>
      </c>
    </row>
    <row r="185" customFormat="1" spans="1:5">
      <c r="B185" s="13"/>
    </row>
    <row r="186" customFormat="1" spans="1:5">
      <c r="A186" t="s">
        <v>313</v>
      </c>
      <c r="B186" s="10">
        <f>((VOUT/IOUT)*((1-Dc_VIN_min)^2))/(Lm*Dc_VIN_min)</f>
        <v>73649.7545008183</v>
      </c>
      <c r="E186" t="s">
        <v>314</v>
      </c>
    </row>
    <row r="187" customFormat="1" spans="1:5">
      <c r="A187" t="s">
        <v>315</v>
      </c>
      <c r="B187" s="89">
        <f>B186/(2*PI())</f>
        <v>11721.7224863098</v>
      </c>
      <c r="C187" t="s">
        <v>111</v>
      </c>
      <c r="E187" t="s">
        <v>316</v>
      </c>
    </row>
    <row r="188" customFormat="1" spans="1:5">
      <c r="B188" s="13">
        <f>Fsw/10</f>
        <v>70000</v>
      </c>
      <c r="C188" t="s">
        <v>111</v>
      </c>
      <c r="E188" t="s">
        <v>317</v>
      </c>
    </row>
    <row r="189" customFormat="1" spans="1:5">
      <c r="B189">
        <f>IF((B187/5)&lt;(B188),0,1)</f>
        <v>0</v>
      </c>
      <c r="E189" t="s">
        <v>318</v>
      </c>
    </row>
    <row r="190" customFormat="1"/>
    <row r="191" customFormat="1" spans="1:5">
      <c r="A191" t="s">
        <v>319</v>
      </c>
      <c r="B191" s="12">
        <f>(Isl*(Rsl_int+R_sl)*Fsw)</f>
        <v>60200</v>
      </c>
      <c r="C191" t="s">
        <v>244</v>
      </c>
      <c r="E191" t="s">
        <v>320</v>
      </c>
    </row>
    <row r="192" customFormat="1" spans="1:5">
      <c r="A192" t="s">
        <v>321</v>
      </c>
      <c r="B192" s="12">
        <f>(R_cs*VIN_min*Acs)/Lm</f>
        <v>6382.97872340426</v>
      </c>
      <c r="C192" t="s">
        <v>244</v>
      </c>
      <c r="E192" t="s">
        <v>322</v>
      </c>
    </row>
    <row r="193" customFormat="1" spans="1:5">
      <c r="B193" s="12"/>
    </row>
    <row r="194" customFormat="1" spans="1:5">
      <c r="A194" t="s">
        <v>323</v>
      </c>
      <c r="B194" s="12">
        <f>2*PI()*Fsw</f>
        <v>4398229.71502571</v>
      </c>
      <c r="C194" t="s">
        <v>324</v>
      </c>
    </row>
    <row r="195" customFormat="1" spans="1:5">
      <c r="A195" t="s">
        <v>325</v>
      </c>
      <c r="B195" s="12">
        <f>1/(PI()*(((1-Dc_VIN_min)*(1+(B191/B192)))-0.5))</f>
        <v>0.166896366878651</v>
      </c>
    </row>
    <row r="196" customFormat="1" spans="1:5">
      <c r="E196">
        <f>fcross</f>
        <v>700</v>
      </c>
    </row>
    <row r="197" customFormat="1" spans="1:5">
      <c r="B197" s="13"/>
    </row>
    <row r="198" customFormat="1" spans="1:5">
      <c r="A198" t="s">
        <v>326</v>
      </c>
      <c r="B198" s="90">
        <f>IF(B189=0,fz_rhp/6,Fsw/10)</f>
        <v>1953.62041438497</v>
      </c>
      <c r="C198" t="s">
        <v>111</v>
      </c>
      <c r="E198" t="s">
        <v>327</v>
      </c>
    </row>
    <row r="199" customFormat="1"/>
    <row r="200" customFormat="1"/>
    <row r="201" customFormat="1" spans="1:5">
      <c r="A201" t="s">
        <v>328</v>
      </c>
      <c r="B201" s="144">
        <f>SQRT(B181*fcross)</f>
        <v>265.321419411133</v>
      </c>
      <c r="C201" t="s">
        <v>111</v>
      </c>
      <c r="E201" t="s">
        <v>329</v>
      </c>
    </row>
    <row r="202" customFormat="1" spans="1:5">
      <c r="A202" t="s">
        <v>330</v>
      </c>
      <c r="B202" s="145">
        <f>fz_rhp</f>
        <v>11721.7224863098</v>
      </c>
      <c r="C202" t="s">
        <v>111</v>
      </c>
      <c r="E202" t="s">
        <v>331</v>
      </c>
    </row>
    <row r="203" customFormat="1" spans="1:5">
      <c r="A203" t="s">
        <v>332</v>
      </c>
      <c r="B203" s="15">
        <f>fcross</f>
        <v>700</v>
      </c>
      <c r="C203" t="s">
        <v>111</v>
      </c>
      <c r="E203" t="s">
        <v>333</v>
      </c>
    </row>
    <row r="204" customFormat="1"/>
    <row r="205" customFormat="1"/>
    <row r="206" customFormat="1" spans="1:5">
      <c r="A206" t="s">
        <v>334</v>
      </c>
      <c r="B206" s="90">
        <f>(2*PI()*Acs*Cout*R_cs*VOUT*fcross)/(Gcomp*Vref*gm_ea*(1-Dc_VIN_min))</f>
        <v>1176.48119949247</v>
      </c>
      <c r="C206" s="16" t="s">
        <v>35</v>
      </c>
      <c r="E206" t="s">
        <v>335</v>
      </c>
    </row>
    <row r="207" customFormat="1" spans="1:5">
      <c r="A207" t="s">
        <v>336</v>
      </c>
      <c r="B207" s="11">
        <f>1/(2*PI()*fz_ea_est*Rcomp_calc_CCM)</f>
        <v>5.09873954981757e-7</v>
      </c>
      <c r="C207" s="16" t="s">
        <v>258</v>
      </c>
      <c r="E207" t="s">
        <v>337</v>
      </c>
    </row>
    <row r="208" customFormat="1" spans="1:5">
      <c r="A208" t="s">
        <v>338</v>
      </c>
      <c r="B208" s="146">
        <f>(IOUT*Lm)/(Rcomp_calc_CCM*((1-Dc_VIN_min)^2)*(VIN_min+VOUT))</f>
        <v>1.15410070162066e-8</v>
      </c>
      <c r="C208" t="s">
        <v>258</v>
      </c>
      <c r="E208" t="s">
        <v>339</v>
      </c>
    </row>
    <row r="211" spans="1:5">
      <c r="A211" s="130" t="s">
        <v>340</v>
      </c>
      <c r="E211" s="17" t="s">
        <v>341</v>
      </c>
    </row>
    <row r="212" customFormat="1"/>
    <row r="213" customFormat="1" spans="1:5">
      <c r="A213" t="s">
        <v>342</v>
      </c>
      <c r="B213">
        <f>Fsw/((R_cs*Acs*(VIN_min/Lm))+((R_sl+Rsl_int)*Isl))</f>
        <v>109.665189111019</v>
      </c>
      <c r="C213" t="s">
        <v>244</v>
      </c>
      <c r="E213" t="s">
        <v>343</v>
      </c>
    </row>
    <row r="214" customFormat="1" spans="1:5">
      <c r="A214" t="s">
        <v>344</v>
      </c>
      <c r="B214">
        <f>(B213*2*VOUT/Dc_VIN_min)*(((VOUT/VIN_min)-1)/((2*VOUT/VIN_min)-1))</f>
        <v>1174.06261283561</v>
      </c>
      <c r="C214" t="s">
        <v>244</v>
      </c>
    </row>
    <row r="215" customFormat="1" spans="1:5">
      <c r="A215" t="s">
        <v>345</v>
      </c>
      <c r="B215">
        <f>(IOUT*((2*VOUT)-VIN_min))/(Cout*VOUT*(VOUT-VIN_min))</f>
        <v>867.34693877551</v>
      </c>
      <c r="C215" t="s">
        <v>304</v>
      </c>
    </row>
    <row r="216" customFormat="1" spans="1:5">
      <c r="B216">
        <f>B215/(2*PI())</f>
        <v>138.042552681746</v>
      </c>
      <c r="C216" t="s">
        <v>111</v>
      </c>
    </row>
    <row r="217" customFormat="1" spans="1:5">
      <c r="A217" t="s">
        <v>346</v>
      </c>
      <c r="B217">
        <f>1/(Cout*Resr)</f>
        <v>63775.5102040816</v>
      </c>
      <c r="C217" t="s">
        <v>304</v>
      </c>
    </row>
    <row r="218" customFormat="1" spans="1:5">
      <c r="B218">
        <f>B217/(2*PI())</f>
        <v>10150.1876971872</v>
      </c>
      <c r="C218" t="s">
        <v>111</v>
      </c>
    </row>
    <row r="219" customFormat="1" spans="1:5">
      <c r="A219" t="s">
        <v>347</v>
      </c>
      <c r="B219">
        <f>2*Fsw/(Dc_VIN_min)</f>
        <v>1820000</v>
      </c>
      <c r="C219" t="s">
        <v>304</v>
      </c>
      <c r="E219" t="s">
        <v>348</v>
      </c>
    </row>
    <row r="220" customFormat="1" spans="1:5">
      <c r="B220">
        <f>B219/(2*PI())</f>
        <v>289661.99642725</v>
      </c>
      <c r="C220" t="s">
        <v>111</v>
      </c>
    </row>
    <row r="221" customFormat="1"/>
    <row r="222" customFormat="1" spans="1:5">
      <c r="A222" t="s">
        <v>349</v>
      </c>
      <c r="B222">
        <f>2*Fsw/(2*PI()*Dc_VIN_min*5)</f>
        <v>57932.3992854499</v>
      </c>
      <c r="C222" t="s">
        <v>111</v>
      </c>
      <c r="E222" t="s">
        <v>350</v>
      </c>
    </row>
    <row r="223" customFormat="1" spans="1:5">
      <c r="B223">
        <f>20*LOG(Gcomp*B214*(B215/(2*PI())))</f>
        <v>103.278934991704</v>
      </c>
      <c r="E223" t="s">
        <v>351</v>
      </c>
    </row>
    <row r="224" customFormat="1" spans="1:5">
      <c r="A224" t="s">
        <v>332</v>
      </c>
      <c r="B224" s="15">
        <f>fcross</f>
        <v>700</v>
      </c>
      <c r="C224" t="s">
        <v>111</v>
      </c>
      <c r="E224" t="s">
        <v>352</v>
      </c>
    </row>
    <row r="225" customFormat="1" spans="1:5">
      <c r="B225" s="13"/>
    </row>
    <row r="226" customFormat="1" spans="1:5">
      <c r="B226" s="13"/>
    </row>
    <row r="227" customFormat="1" spans="1:5">
      <c r="A227" t="s">
        <v>353</v>
      </c>
      <c r="B227">
        <f>(2*PI()*VOUT*fcross)/(Gcomp*Vref*gm_ea*B215*B214)</f>
        <v>47.6091862356006</v>
      </c>
      <c r="C227" t="s">
        <v>354</v>
      </c>
      <c r="E227" t="s">
        <v>335</v>
      </c>
    </row>
    <row r="228" customFormat="1" spans="1:5">
      <c r="A228" t="s">
        <v>355</v>
      </c>
      <c r="B228">
        <f>1/(2*PI()*SQRT(fcross*(B215/(2*PI())))*B227)</f>
        <v>1.07540948473542e-5</v>
      </c>
      <c r="C228" t="s">
        <v>258</v>
      </c>
      <c r="E228" t="s">
        <v>337</v>
      </c>
    </row>
    <row r="229" customFormat="1" spans="1:5">
      <c r="A229" t="s">
        <v>356</v>
      </c>
      <c r="B229">
        <f>B228/((2*PI()*B228*B227*(B219/(2*PI())))-1)</f>
        <v>1.15532499943682e-8</v>
      </c>
      <c r="C229" t="s">
        <v>258</v>
      </c>
      <c r="E229" t="s">
        <v>339</v>
      </c>
    </row>
    <row r="230" customFormat="1" ht="16.5" customHeight="1"/>
    <row r="231" customFormat="1" ht="16.5" customHeight="1" spans="1:5">
      <c r="A231" s="125" t="s">
        <v>357</v>
      </c>
    </row>
    <row r="232" customFormat="1" spans="1:5">
      <c r="B232">
        <f>IF(B52=0,B222,B198)</f>
        <v>1953.62041438497</v>
      </c>
      <c r="C232" t="s">
        <v>111</v>
      </c>
      <c r="E232" t="s">
        <v>358</v>
      </c>
    </row>
    <row r="233" customFormat="1" spans="1:5">
      <c r="A233" t="s">
        <v>332</v>
      </c>
      <c r="B233" s="15">
        <f>'Design Converter'!H68*1000</f>
        <v>700</v>
      </c>
      <c r="C233" t="s">
        <v>111</v>
      </c>
      <c r="E233" t="s">
        <v>359</v>
      </c>
    </row>
    <row r="234" customFormat="1"/>
    <row r="235" customFormat="1" spans="1:5">
      <c r="A235" t="s">
        <v>360</v>
      </c>
      <c r="B235">
        <f>IF(B52=0,RCOMP_CALC_DCM,Rcomp_calc_CCM)</f>
        <v>1176.48119949247</v>
      </c>
    </row>
    <row r="236" customFormat="1" spans="1:5">
      <c r="A236" t="s">
        <v>361</v>
      </c>
      <c r="B236" s="15">
        <f>'Design Converter'!H71*1000</f>
        <v>2500</v>
      </c>
      <c r="C236" s="16" t="s">
        <v>35</v>
      </c>
      <c r="E236" t="s">
        <v>362</v>
      </c>
    </row>
    <row r="237" customFormat="1" spans="1:5">
      <c r="A237" t="s">
        <v>363</v>
      </c>
      <c r="B237">
        <f>IF(B52=0,CCOMP_CALC_DCM,CCOMP_calc_CCM)</f>
        <v>5.09873954981757e-7</v>
      </c>
    </row>
    <row r="238" customFormat="1" spans="1:5">
      <c r="A238" t="s">
        <v>364</v>
      </c>
      <c r="B238" s="15">
        <f>'Design Converter'!H72*(10^-9)</f>
        <v>2.2e-7</v>
      </c>
      <c r="C238" t="s">
        <v>258</v>
      </c>
      <c r="E238" t="s">
        <v>365</v>
      </c>
    </row>
    <row r="239" customFormat="1" spans="1:5">
      <c r="A239" t="s">
        <v>366</v>
      </c>
      <c r="B239">
        <f>IF(B52=0,CHF_CALC_DCM,CHF_CALC_CCM)</f>
        <v>1.15410070162066e-8</v>
      </c>
    </row>
    <row r="240" customFormat="1" spans="1:5">
      <c r="A240" t="s">
        <v>367</v>
      </c>
      <c r="B240" s="15">
        <f>'Design Converter'!H73*(10^-12)</f>
        <v>4.7e-9</v>
      </c>
      <c r="C240" t="s">
        <v>258</v>
      </c>
      <c r="E240" t="s">
        <v>368</v>
      </c>
    </row>
    <row r="241" customFormat="1"/>
    <row r="242" spans="1:5">
      <c r="A242" s="139" t="s">
        <v>369</v>
      </c>
    </row>
    <row r="243" customFormat="1" spans="1:5">
      <c r="A243" s="139" t="s">
        <v>80</v>
      </c>
    </row>
    <row r="244" customFormat="1" spans="1:5">
      <c r="A244" s="147" t="s">
        <v>370</v>
      </c>
      <c r="E244" t="s">
        <v>371</v>
      </c>
    </row>
    <row r="245" spans="1:5">
      <c r="A245" t="s">
        <v>372</v>
      </c>
      <c r="B245">
        <f>'Design Converter'!H88/1000</f>
        <v>0.325</v>
      </c>
      <c r="C245" t="s">
        <v>7</v>
      </c>
      <c r="E245" t="s">
        <v>373</v>
      </c>
    </row>
    <row r="246" spans="1:5">
      <c r="A246" t="s">
        <v>374</v>
      </c>
      <c r="B246">
        <f>'Design Converter'!H89*(10^-9)</f>
        <v>0</v>
      </c>
      <c r="C246" t="s">
        <v>375</v>
      </c>
      <c r="E246" t="s">
        <v>376</v>
      </c>
    </row>
    <row r="248" customFormat="1"/>
    <row r="249" spans="1:5">
      <c r="A249" s="139" t="s">
        <v>377</v>
      </c>
    </row>
    <row r="250" ht="16.5" spans="1:5">
      <c r="A250" t="s">
        <v>378</v>
      </c>
      <c r="B250" s="15">
        <f>'Design Converter'!H78*(10^-3)</f>
        <v>0.0085</v>
      </c>
      <c r="C250" s="16" t="s">
        <v>35</v>
      </c>
      <c r="E250" s="148" t="s">
        <v>69</v>
      </c>
    </row>
    <row r="251" ht="16.5" spans="1:5">
      <c r="A251" t="s">
        <v>379</v>
      </c>
      <c r="B251" s="15">
        <f>'Design Converter'!H79*(10^-9)</f>
        <v>1.5e-8</v>
      </c>
      <c r="C251" t="s">
        <v>258</v>
      </c>
      <c r="E251" s="148" t="s">
        <v>71</v>
      </c>
    </row>
    <row r="252" ht="16.5" spans="1:5">
      <c r="A252" t="s">
        <v>380</v>
      </c>
      <c r="B252" s="15">
        <f>'Design Converter'!H80*(10^-9)</f>
        <v>6.5e-9</v>
      </c>
      <c r="C252" t="s">
        <v>258</v>
      </c>
      <c r="E252" s="148" t="s">
        <v>73</v>
      </c>
    </row>
    <row r="253" ht="16.5" spans="1:5">
      <c r="A253" t="s">
        <v>381</v>
      </c>
      <c r="B253" s="15">
        <f>'Design Converter'!H81*(10^-9)</f>
        <v>3.5e-9</v>
      </c>
      <c r="C253" t="s">
        <v>258</v>
      </c>
      <c r="E253" s="148" t="s">
        <v>74</v>
      </c>
    </row>
    <row r="254" ht="16.5" spans="1:5">
      <c r="A254" t="s">
        <v>382</v>
      </c>
      <c r="B254" s="15">
        <f>'Design Converter'!H82</f>
        <v>1.3</v>
      </c>
      <c r="C254" s="16" t="s">
        <v>35</v>
      </c>
      <c r="E254" s="148" t="s">
        <v>75</v>
      </c>
    </row>
    <row r="255" customFormat="1" spans="1:5">
      <c r="A255" t="s">
        <v>383</v>
      </c>
      <c r="B255" s="10">
        <v>1.5</v>
      </c>
      <c r="C255" s="16"/>
      <c r="E255" s="148" t="s">
        <v>384</v>
      </c>
    </row>
    <row r="256" ht="16.5" spans="1:5">
      <c r="A256" t="s">
        <v>385</v>
      </c>
      <c r="B256" s="15">
        <f>'Design Converter'!H83</f>
        <v>70</v>
      </c>
      <c r="C256" s="16" t="s">
        <v>78</v>
      </c>
      <c r="E256" s="148" t="s">
        <v>77</v>
      </c>
    </row>
    <row r="257" ht="16.5" spans="1:8">
      <c r="A257" t="s">
        <v>386</v>
      </c>
      <c r="B257" s="15">
        <f>'Design Converter'!H84</f>
        <v>1.65</v>
      </c>
      <c r="C257" s="16" t="s">
        <v>7</v>
      </c>
      <c r="E257" s="148" t="s">
        <v>79</v>
      </c>
    </row>
    <row r="258" customFormat="1" spans="1:8">
      <c r="A258" t="s">
        <v>387</v>
      </c>
      <c r="B258" s="10">
        <f>Vcc</f>
        <v>7.2</v>
      </c>
      <c r="C258" s="16" t="s">
        <v>7</v>
      </c>
      <c r="E258" s="148" t="s">
        <v>388</v>
      </c>
    </row>
    <row r="259" customFormat="1" spans="1:8">
      <c r="B259" s="13"/>
      <c r="C259" s="16"/>
      <c r="E259" s="148"/>
    </row>
    <row r="260" customFormat="1" spans="1:8">
      <c r="B260" s="13"/>
      <c r="C260" s="16"/>
      <c r="E260" s="148"/>
    </row>
    <row r="261" spans="1:8">
      <c r="A261" t="s">
        <v>389</v>
      </c>
      <c r="B261" s="137">
        <f>Vth+((IOUT+(VOUT*IOUT/VIN_min))/gfs)</f>
        <v>1.77380952380952</v>
      </c>
      <c r="C261" s="16" t="s">
        <v>7</v>
      </c>
      <c r="E261" s="148" t="s">
        <v>390</v>
      </c>
    </row>
    <row r="262" spans="1:8">
      <c r="A262" t="s">
        <v>391</v>
      </c>
      <c r="B262" s="12">
        <f>(Qgd+(Qgs/2))*((Rgate+B255)/(Vcc-B261))</f>
        <v>4.25713032031593e-9</v>
      </c>
      <c r="C262" s="16" t="s">
        <v>173</v>
      </c>
      <c r="E262" s="148" t="s">
        <v>392</v>
      </c>
    </row>
    <row r="263" ht="15.75" spans="1:8">
      <c r="A263" t="s">
        <v>393</v>
      </c>
      <c r="B263" s="124">
        <f>(Qgd+(Qgs/2))*((B255+Rgate)/B261)</f>
        <v>1.30228187919463e-8</v>
      </c>
      <c r="C263" t="s">
        <v>173</v>
      </c>
      <c r="E263" s="149" t="s">
        <v>394</v>
      </c>
      <c r="H263" t="s">
        <v>395</v>
      </c>
    </row>
  </sheetData>
  <mergeCells count="2">
    <mergeCell ref="A1:J1"/>
    <mergeCell ref="E5:H5"/>
  </mergeCells>
  <pageMargins left="0.7" right="0.7" top="0.75" bottom="0.75" header="0.3" footer="0.3"/>
  <pageSetup paperSize="1" orientation="portrait"/>
  <headerFooter/>
  <ignoredErrors>
    <ignoredError sqref="B217 B219" formula="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AT157"/>
  <sheetViews>
    <sheetView zoomScale="85" zoomScaleNormal="85" topLeftCell="I1" workbookViewId="0">
      <pane ySplit="6" topLeftCell="A100" activePane="bottomLeft" state="frozen"/>
      <selection/>
      <selection pane="bottomLeft" activeCell="AU42" sqref="AU42"/>
    </sheetView>
  </sheetViews>
  <sheetFormatPr defaultColWidth="9" defaultRowHeight="15"/>
  <cols>
    <col min="10" max="10" width="10" customWidth="1"/>
    <col min="18" max="18" width="8.85714285714286"/>
    <col min="21" max="21" width="8.85714285714286"/>
    <col min="24" max="24" width="8.85714285714286"/>
    <col min="25" max="25" width="12" customWidth="1"/>
    <col min="28" max="28" width="8.85714285714286"/>
    <col min="30" max="30" width="8.85714285714286"/>
    <col min="35" max="35" width="8.85714285714286"/>
    <col min="39" max="39" width="11" customWidth="1"/>
    <col min="42" max="43" width="8.85714285714286"/>
  </cols>
  <sheetData>
    <row r="1" ht="27.75" spans="1:46">
      <c r="A1" s="1" t="s">
        <v>90</v>
      </c>
      <c r="B1" s="1"/>
      <c r="C1" s="1"/>
      <c r="D1" s="1"/>
      <c r="E1" s="1"/>
      <c r="F1" s="1"/>
      <c r="G1" s="1"/>
      <c r="H1" s="1"/>
      <c r="I1" s="1"/>
      <c r="J1" s="1"/>
      <c r="K1" s="1"/>
      <c r="L1" s="1"/>
      <c r="M1" s="1"/>
    </row>
    <row r="2" spans="1:46">
      <c r="Y2" s="40" t="s">
        <v>396</v>
      </c>
      <c r="Z2" s="40"/>
      <c r="AA2" s="40"/>
      <c r="AB2" s="40"/>
      <c r="AC2" s="40"/>
      <c r="AD2" s="40"/>
    </row>
    <row r="4" ht="15.75" spans="1:46">
      <c r="R4" s="96"/>
      <c r="S4" s="96"/>
      <c r="T4" s="96"/>
      <c r="U4" s="96"/>
      <c r="V4" s="96"/>
      <c r="W4" s="96"/>
      <c r="X4" s="96"/>
      <c r="Y4" s="96"/>
      <c r="Z4" s="96"/>
      <c r="AA4" s="96"/>
      <c r="AB4" s="96"/>
      <c r="AC4" s="96"/>
      <c r="AD4" s="96"/>
      <c r="AE4" s="96"/>
      <c r="AF4" s="96"/>
      <c r="AG4" s="96"/>
      <c r="AH4" s="96"/>
      <c r="AI4" s="96"/>
      <c r="AJ4" s="96"/>
      <c r="AK4" s="96"/>
      <c r="AL4" s="96"/>
      <c r="AM4" s="96"/>
      <c r="AN4" s="96"/>
      <c r="AO4" s="96"/>
      <c r="AP4" s="96"/>
      <c r="AQ4" s="96"/>
      <c r="AR4" s="96"/>
      <c r="AS4" s="96"/>
      <c r="AT4" s="96"/>
    </row>
    <row r="5" ht="30" spans="1:46">
      <c r="R5" s="97" t="s">
        <v>397</v>
      </c>
      <c r="S5" s="98"/>
      <c r="T5" s="98"/>
      <c r="U5" s="99"/>
      <c r="V5" s="97" t="s">
        <v>398</v>
      </c>
      <c r="W5" s="98"/>
      <c r="X5" s="99"/>
      <c r="Y5" s="97" t="s">
        <v>399</v>
      </c>
      <c r="Z5" s="98"/>
      <c r="AA5" s="98"/>
      <c r="AB5" s="98"/>
      <c r="AC5" s="98"/>
      <c r="AD5" s="99"/>
      <c r="AE5" s="97" t="s">
        <v>400</v>
      </c>
      <c r="AF5" s="98"/>
      <c r="AG5" s="98"/>
      <c r="AH5" s="98"/>
      <c r="AI5" s="99"/>
      <c r="AJ5" s="97" t="s">
        <v>401</v>
      </c>
      <c r="AK5" s="98"/>
      <c r="AL5" s="98"/>
      <c r="AM5" s="98"/>
      <c r="AN5" s="99"/>
      <c r="AO5" s="100" t="s">
        <v>402</v>
      </c>
      <c r="AP5" s="101"/>
      <c r="AQ5" s="102"/>
      <c r="AR5" s="100" t="s">
        <v>403</v>
      </c>
      <c r="AS5" s="103"/>
      <c r="AT5" s="104"/>
    </row>
    <row r="6" ht="18.75" spans="1:46">
      <c r="R6" s="105" t="s">
        <v>115</v>
      </c>
      <c r="S6" s="106" t="s">
        <v>117</v>
      </c>
      <c r="T6" s="106" t="s">
        <v>404</v>
      </c>
      <c r="U6" s="107" t="s">
        <v>405</v>
      </c>
      <c r="V6" s="105" t="s">
        <v>406</v>
      </c>
      <c r="W6" s="106" t="s">
        <v>407</v>
      </c>
      <c r="X6" s="107" t="s">
        <v>408</v>
      </c>
      <c r="Y6" s="108" t="s">
        <v>409</v>
      </c>
      <c r="Z6" s="109" t="s">
        <v>410</v>
      </c>
      <c r="AA6" s="109" t="s">
        <v>411</v>
      </c>
      <c r="AB6" s="110" t="s">
        <v>412</v>
      </c>
      <c r="AC6" s="110" t="s">
        <v>413</v>
      </c>
      <c r="AD6" s="111" t="s">
        <v>414</v>
      </c>
      <c r="AE6" s="108" t="s">
        <v>415</v>
      </c>
      <c r="AF6" s="109" t="s">
        <v>416</v>
      </c>
      <c r="AG6" s="110" t="s">
        <v>417</v>
      </c>
      <c r="AH6" s="110" t="s">
        <v>418</v>
      </c>
      <c r="AI6" s="111" t="s">
        <v>419</v>
      </c>
      <c r="AJ6" s="108" t="s">
        <v>420</v>
      </c>
      <c r="AK6" s="109" t="s">
        <v>421</v>
      </c>
      <c r="AL6" s="109" t="s">
        <v>422</v>
      </c>
      <c r="AM6" s="109" t="s">
        <v>423</v>
      </c>
      <c r="AN6" s="112" t="s">
        <v>424</v>
      </c>
      <c r="AO6" s="108" t="s">
        <v>425</v>
      </c>
      <c r="AP6" s="109" t="s">
        <v>426</v>
      </c>
      <c r="AQ6" s="112" t="s">
        <v>427</v>
      </c>
      <c r="AR6" s="108" t="s">
        <v>428</v>
      </c>
      <c r="AS6" s="109" t="s">
        <v>429</v>
      </c>
      <c r="AT6" s="112" t="s">
        <v>430</v>
      </c>
    </row>
    <row r="7" spans="1:46">
      <c r="Q7">
        <v>0</v>
      </c>
      <c r="R7" s="105">
        <f t="shared" ref="R7:R70" si="0">VOUT</f>
        <v>10</v>
      </c>
      <c r="S7" s="106">
        <f t="shared" ref="S7:S38" si="1">Q7*$O$12</f>
        <v>0</v>
      </c>
      <c r="T7" s="106">
        <f t="shared" ref="T7:T70" si="2">VIN_var</f>
        <v>4</v>
      </c>
      <c r="U7" s="107">
        <f t="shared" ref="U7:U38" si="3">(R7*S7)/(T7*EFF_est)</f>
        <v>0</v>
      </c>
      <c r="V7" s="105">
        <f t="shared" ref="V7:V38" si="4">IF(S7&lt;((T7^2)*R7)/(2*Fsw*Lm*((T7+R7)^2)),1,2)</f>
        <v>1</v>
      </c>
      <c r="W7" s="106">
        <f t="shared" ref="W7:W38" si="5">CHOOSE(V7,SQRT(2*Lm*R7*S7*Fsw)/T7,R7/(T7+R7))</f>
        <v>0</v>
      </c>
      <c r="X7" s="107">
        <f t="shared" ref="X7:X38" si="6">CHOOSE(V7,(Lm*Z7*Fsw)/(R7),1-W7)</f>
        <v>0</v>
      </c>
      <c r="Y7" s="105">
        <f t="shared" ref="Y7" si="7">(T7*W7)/(Lm*Fsw)</f>
        <v>0</v>
      </c>
      <c r="Z7" s="106">
        <f t="shared" ref="Z7:Z19" si="8">U7+S7+(Y7)</f>
        <v>0</v>
      </c>
      <c r="AA7" s="106">
        <f>CHOOSE(V7,Z7*SQRT((W7+X7)/3),SQRT((U7^2)+((Y7^2)/12)))</f>
        <v>0</v>
      </c>
      <c r="AB7" s="106">
        <v>0</v>
      </c>
      <c r="AC7" s="106">
        <f t="shared" ref="AC7" si="9">(AA7^2)*Rdcr</f>
        <v>0</v>
      </c>
      <c r="AD7" s="107">
        <f>AB7+AC7</f>
        <v>0</v>
      </c>
      <c r="AE7" s="105">
        <f>U7*S7*W7</f>
        <v>0</v>
      </c>
      <c r="AF7" s="106">
        <f>AA7</f>
        <v>0</v>
      </c>
      <c r="AG7" s="106">
        <f t="shared" ref="AG7:AG38" si="10">(AF7^2)*RDS_on</f>
        <v>0</v>
      </c>
      <c r="AH7" s="106">
        <f t="shared" ref="AH7:AH38" si="11">(((R7+T7)*(U7+S7))/2)*Fsw*(tr_sw+tf_sw)</f>
        <v>0</v>
      </c>
      <c r="AI7" s="107">
        <f>AG7+AH7</f>
        <v>0</v>
      </c>
      <c r="AJ7" s="105">
        <f>S7</f>
        <v>0</v>
      </c>
      <c r="AK7" s="106">
        <f t="shared" ref="AK7" si="12">CHOOSE(V7,Z7*SQRT(X7/3),SQRT(X7*((Z7^2)+((Y7^2)/3)-(Y7*Z7))))</f>
        <v>0</v>
      </c>
      <c r="AL7" s="106">
        <f t="shared" ref="AL7" si="13">S7*Vd_rect</f>
        <v>0</v>
      </c>
      <c r="AM7" s="106">
        <f t="shared" ref="AM7:AM38" si="14">(R7+T7+Vd_rect)*Qrr*Fsw</f>
        <v>0</v>
      </c>
      <c r="AN7" s="107">
        <f>AL7+AM7</f>
        <v>0</v>
      </c>
      <c r="AO7" s="105">
        <f t="shared" ref="AO7:AO38" si="15">(AF7^2)*R_cs</f>
        <v>0</v>
      </c>
      <c r="AP7" s="106">
        <f t="shared" ref="AP7:AP70" si="16">Qg_tot*Vcc*Fsw</f>
        <v>0.0756</v>
      </c>
      <c r="AQ7" s="107">
        <f t="shared" ref="AQ7" si="17">IQ*T7</f>
        <v>0.0132</v>
      </c>
      <c r="AR7" s="105">
        <f>AO7+AN7+AI7+AP7+AQ7</f>
        <v>0.0888</v>
      </c>
      <c r="AS7" s="106">
        <f>R7*S7</f>
        <v>0</v>
      </c>
      <c r="AT7" s="107">
        <f>(AS7/(AS7+AR7))*100</f>
        <v>0</v>
      </c>
    </row>
    <row r="8" spans="1:46">
      <c r="M8">
        <f>Fsw</f>
        <v>700000</v>
      </c>
      <c r="Q8">
        <v>1</v>
      </c>
      <c r="R8" s="105">
        <f t="shared" si="0"/>
        <v>10</v>
      </c>
      <c r="S8" s="106">
        <f t="shared" si="1"/>
        <v>0.0133333333333333</v>
      </c>
      <c r="T8" s="106">
        <f t="shared" si="2"/>
        <v>4</v>
      </c>
      <c r="U8" s="107">
        <f t="shared" si="3"/>
        <v>0.0333333333333333</v>
      </c>
      <c r="V8" s="105">
        <f t="shared" si="4"/>
        <v>1</v>
      </c>
      <c r="W8" s="106">
        <f t="shared" si="5"/>
        <v>0.234165183862446</v>
      </c>
      <c r="X8" s="107">
        <f t="shared" si="6"/>
        <v>0.109019406878312</v>
      </c>
      <c r="Y8" s="105">
        <f t="shared" ref="Y8:Y71" si="18">(T8*W8)/(Lm*Fsw)</f>
        <v>0.284699311686865</v>
      </c>
      <c r="Z8" s="106">
        <f t="shared" si="8"/>
        <v>0.331365978353532</v>
      </c>
      <c r="AA8" s="106">
        <f t="shared" ref="AA8:AA71" si="19">CHOOSE(V8,Z8*SQRT((W8+X8)/3),SQRT((U8^2)+((Y8^2)/12)))</f>
        <v>0.112075627554765</v>
      </c>
      <c r="AB8" s="106">
        <v>0</v>
      </c>
      <c r="AC8" s="106">
        <f t="shared" ref="AC8:AC71" si="20">(AA8^2)*Rdcr</f>
        <v>0.000125609462917944</v>
      </c>
      <c r="AD8" s="107">
        <f t="shared" ref="AD8:AD71" si="21">AB8+AC8</f>
        <v>0.000125609462917944</v>
      </c>
      <c r="AE8" s="105">
        <f t="shared" ref="AE8:AE71" si="22">U8*S8*W8</f>
        <v>0.000104073415049976</v>
      </c>
      <c r="AF8" s="106">
        <f t="shared" ref="AF8:AF71" si="23">AA8</f>
        <v>0.112075627554765</v>
      </c>
      <c r="AG8" s="106">
        <f t="shared" si="10"/>
        <v>0.000106768043480252</v>
      </c>
      <c r="AH8" s="106">
        <f t="shared" si="11"/>
        <v>0.00395134836367063</v>
      </c>
      <c r="AI8" s="107">
        <f t="shared" ref="AI8:AI71" si="24">AG8+AH8</f>
        <v>0.00405811640715088</v>
      </c>
      <c r="AJ8" s="105">
        <f t="shared" ref="AJ8:AJ71" si="25">S8</f>
        <v>0.0133333333333333</v>
      </c>
      <c r="AK8" s="106">
        <f t="shared" ref="AK8:AK71" si="26">CHOOSE(V8,Z8*SQRT(X8/3),SQRT(X8*((Z8^2)+((Y8^2)/3)-(Y8*Z8))))</f>
        <v>0.0631683011405732</v>
      </c>
      <c r="AL8" s="106">
        <f t="shared" ref="AL8:AL71" si="27">S8*Vd_rect</f>
        <v>0.00433333333333333</v>
      </c>
      <c r="AM8" s="106">
        <f t="shared" si="14"/>
        <v>0</v>
      </c>
      <c r="AN8" s="107">
        <f t="shared" ref="AN8:AN71" si="28">AL8+AM8</f>
        <v>0.00433333333333333</v>
      </c>
      <c r="AO8" s="105">
        <f t="shared" si="15"/>
        <v>0.000125609462917944</v>
      </c>
      <c r="AP8" s="106">
        <f t="shared" si="16"/>
        <v>0.0756</v>
      </c>
      <c r="AQ8" s="107">
        <f t="shared" ref="AQ8:AQ71" si="29">IQ*T8</f>
        <v>0.0132</v>
      </c>
      <c r="AR8" s="105">
        <f t="shared" ref="AR8:AR71" si="30">AO8+AN8+AI8+AP8+AQ8</f>
        <v>0.0973170592034022</v>
      </c>
      <c r="AS8" s="106">
        <f t="shared" ref="AS8:AS71" si="31">R8*S8</f>
        <v>0.133333333333333</v>
      </c>
      <c r="AT8" s="107">
        <f t="shared" ref="AT8:AT71" si="32">(AS8/(AS8+AR8))*100</f>
        <v>57.8075466800246</v>
      </c>
    </row>
    <row r="9" spans="1:46">
      <c r="N9" s="106" t="s">
        <v>431</v>
      </c>
      <c r="O9" s="106">
        <f>VIN_var</f>
        <v>4</v>
      </c>
      <c r="P9" t="s">
        <v>7</v>
      </c>
      <c r="Q9">
        <v>2</v>
      </c>
      <c r="R9" s="105">
        <f t="shared" si="0"/>
        <v>10</v>
      </c>
      <c r="S9" s="106">
        <f t="shared" si="1"/>
        <v>0.0266666666666667</v>
      </c>
      <c r="T9" s="106">
        <f t="shared" si="2"/>
        <v>4</v>
      </c>
      <c r="U9" s="107">
        <f t="shared" si="3"/>
        <v>0.0666666666666667</v>
      </c>
      <c r="V9" s="105">
        <f t="shared" si="4"/>
        <v>1</v>
      </c>
      <c r="W9" s="106">
        <f t="shared" si="5"/>
        <v>0.331159578853861</v>
      </c>
      <c r="X9" s="107">
        <f t="shared" si="6"/>
        <v>0.163170498208211</v>
      </c>
      <c r="Y9" s="105">
        <f t="shared" si="18"/>
        <v>0.402625627785849</v>
      </c>
      <c r="Z9" s="106">
        <f t="shared" si="8"/>
        <v>0.495958961119183</v>
      </c>
      <c r="AA9" s="106">
        <f t="shared" si="19"/>
        <v>0.201323110622333</v>
      </c>
      <c r="AB9" s="106">
        <v>0</v>
      </c>
      <c r="AC9" s="106">
        <f t="shared" si="20"/>
        <v>0.000405309948706521</v>
      </c>
      <c r="AD9" s="107">
        <f t="shared" si="21"/>
        <v>0.000405309948706521</v>
      </c>
      <c r="AE9" s="105">
        <f t="shared" si="22"/>
        <v>0.000588728140184642</v>
      </c>
      <c r="AF9" s="106">
        <f t="shared" si="23"/>
        <v>0.201323110622333</v>
      </c>
      <c r="AG9" s="106">
        <f t="shared" si="10"/>
        <v>0.000344513456400543</v>
      </c>
      <c r="AH9" s="106">
        <f t="shared" si="11"/>
        <v>0.00790269672734126</v>
      </c>
      <c r="AI9" s="107">
        <f t="shared" si="24"/>
        <v>0.00824721018374181</v>
      </c>
      <c r="AJ9" s="105">
        <f t="shared" si="25"/>
        <v>0.0266666666666667</v>
      </c>
      <c r="AK9" s="106">
        <f t="shared" si="26"/>
        <v>0.115666057824598</v>
      </c>
      <c r="AL9" s="106">
        <f t="shared" si="27"/>
        <v>0.00866666666666667</v>
      </c>
      <c r="AM9" s="106">
        <f t="shared" si="14"/>
        <v>0</v>
      </c>
      <c r="AN9" s="107">
        <f t="shared" si="28"/>
        <v>0.00866666666666667</v>
      </c>
      <c r="AO9" s="105">
        <f t="shared" si="15"/>
        <v>0.000405309948706521</v>
      </c>
      <c r="AP9" s="106">
        <f t="shared" si="16"/>
        <v>0.0756</v>
      </c>
      <c r="AQ9" s="107">
        <f t="shared" si="29"/>
        <v>0.0132</v>
      </c>
      <c r="AR9" s="105">
        <f t="shared" si="30"/>
        <v>0.106119186799115</v>
      </c>
      <c r="AS9" s="106">
        <f t="shared" si="31"/>
        <v>0.266666666666667</v>
      </c>
      <c r="AT9" s="107">
        <f t="shared" si="32"/>
        <v>71.5334726861206</v>
      </c>
    </row>
    <row r="10" spans="1:46">
      <c r="N10" s="106"/>
      <c r="O10" s="106"/>
      <c r="Q10">
        <v>3</v>
      </c>
      <c r="R10" s="105">
        <f t="shared" si="0"/>
        <v>10</v>
      </c>
      <c r="S10" s="106">
        <f t="shared" si="1"/>
        <v>0.04</v>
      </c>
      <c r="T10" s="106">
        <f t="shared" si="2"/>
        <v>4</v>
      </c>
      <c r="U10" s="107">
        <f t="shared" si="3"/>
        <v>0.1</v>
      </c>
      <c r="V10" s="105">
        <f t="shared" si="4"/>
        <v>1</v>
      </c>
      <c r="W10" s="106">
        <f t="shared" si="5"/>
        <v>0.405585995813465</v>
      </c>
      <c r="X10" s="107">
        <f t="shared" si="6"/>
        <v>0.208294398325386</v>
      </c>
      <c r="Y10" s="105">
        <f t="shared" si="18"/>
        <v>0.493113672721538</v>
      </c>
      <c r="Z10" s="106">
        <f t="shared" si="8"/>
        <v>0.633113672721538</v>
      </c>
      <c r="AA10" s="106">
        <f t="shared" si="19"/>
        <v>0.286393361481202</v>
      </c>
      <c r="AB10" s="106">
        <v>0</v>
      </c>
      <c r="AC10" s="106">
        <f t="shared" si="20"/>
        <v>0.000820211575005024</v>
      </c>
      <c r="AD10" s="107">
        <f t="shared" si="21"/>
        <v>0.000820211575005024</v>
      </c>
      <c r="AE10" s="105">
        <f t="shared" si="22"/>
        <v>0.00162234398325386</v>
      </c>
      <c r="AF10" s="106">
        <f t="shared" si="23"/>
        <v>0.286393361481202</v>
      </c>
      <c r="AG10" s="106">
        <f t="shared" si="10"/>
        <v>0.00069717983875427</v>
      </c>
      <c r="AH10" s="106">
        <f t="shared" si="11"/>
        <v>0.0118540450910119</v>
      </c>
      <c r="AI10" s="107">
        <f t="shared" si="24"/>
        <v>0.0125512249297662</v>
      </c>
      <c r="AJ10" s="105">
        <f t="shared" si="25"/>
        <v>0.04</v>
      </c>
      <c r="AK10" s="106">
        <f t="shared" si="26"/>
        <v>0.166824511028062</v>
      </c>
      <c r="AL10" s="106">
        <f t="shared" si="27"/>
        <v>0.013</v>
      </c>
      <c r="AM10" s="106">
        <f t="shared" si="14"/>
        <v>0</v>
      </c>
      <c r="AN10" s="107">
        <f t="shared" si="28"/>
        <v>0.013</v>
      </c>
      <c r="AO10" s="105">
        <f t="shared" si="15"/>
        <v>0.000820211575005024</v>
      </c>
      <c r="AP10" s="106">
        <f t="shared" si="16"/>
        <v>0.0756</v>
      </c>
      <c r="AQ10" s="107">
        <f t="shared" si="29"/>
        <v>0.0132</v>
      </c>
      <c r="AR10" s="105">
        <f t="shared" si="30"/>
        <v>0.115171436504771</v>
      </c>
      <c r="AS10" s="106">
        <f t="shared" si="31"/>
        <v>0.4</v>
      </c>
      <c r="AT10" s="107">
        <f t="shared" si="32"/>
        <v>77.6440562609289</v>
      </c>
    </row>
    <row r="11" spans="1:46">
      <c r="N11" s="106" t="s">
        <v>432</v>
      </c>
      <c r="O11" s="106">
        <v>150</v>
      </c>
      <c r="Q11">
        <v>4</v>
      </c>
      <c r="R11" s="105">
        <f t="shared" si="0"/>
        <v>10</v>
      </c>
      <c r="S11" s="106">
        <f t="shared" si="1"/>
        <v>0.0533333333333333</v>
      </c>
      <c r="T11" s="106">
        <f t="shared" si="2"/>
        <v>4</v>
      </c>
      <c r="U11" s="107">
        <f t="shared" si="3"/>
        <v>0.133333333333333</v>
      </c>
      <c r="V11" s="105">
        <f t="shared" si="4"/>
        <v>1</v>
      </c>
      <c r="W11" s="106">
        <f t="shared" si="5"/>
        <v>0.468330367724893</v>
      </c>
      <c r="X11" s="107">
        <f t="shared" si="6"/>
        <v>0.24874548042329</v>
      </c>
      <c r="Y11" s="105">
        <f t="shared" si="18"/>
        <v>0.56939862337373</v>
      </c>
      <c r="Z11" s="106">
        <f t="shared" si="8"/>
        <v>0.756065290040397</v>
      </c>
      <c r="AA11" s="106">
        <f t="shared" si="19"/>
        <v>0.369641922985627</v>
      </c>
      <c r="AB11" s="106">
        <v>0</v>
      </c>
      <c r="AC11" s="106">
        <f t="shared" si="20"/>
        <v>0.00136635151228512</v>
      </c>
      <c r="AD11" s="107">
        <f t="shared" si="21"/>
        <v>0.00136635151228512</v>
      </c>
      <c r="AE11" s="105">
        <f t="shared" si="22"/>
        <v>0.00333034928159924</v>
      </c>
      <c r="AF11" s="106">
        <f t="shared" si="23"/>
        <v>0.369641922985627</v>
      </c>
      <c r="AG11" s="106">
        <f t="shared" si="10"/>
        <v>0.00116139878544235</v>
      </c>
      <c r="AH11" s="106">
        <f t="shared" si="11"/>
        <v>0.0158053934546825</v>
      </c>
      <c r="AI11" s="107">
        <f t="shared" si="24"/>
        <v>0.0169667922401249</v>
      </c>
      <c r="AJ11" s="105">
        <f t="shared" si="25"/>
        <v>0.0533333333333333</v>
      </c>
      <c r="AK11" s="106">
        <f t="shared" si="26"/>
        <v>0.217708944656609</v>
      </c>
      <c r="AL11" s="106">
        <f t="shared" si="27"/>
        <v>0.0173333333333333</v>
      </c>
      <c r="AM11" s="106">
        <f t="shared" si="14"/>
        <v>0</v>
      </c>
      <c r="AN11" s="107">
        <f t="shared" si="28"/>
        <v>0.0173333333333333</v>
      </c>
      <c r="AO11" s="105">
        <f t="shared" si="15"/>
        <v>0.00136635151228512</v>
      </c>
      <c r="AP11" s="106">
        <f t="shared" si="16"/>
        <v>0.0756</v>
      </c>
      <c r="AQ11" s="107">
        <f t="shared" si="29"/>
        <v>0.0132</v>
      </c>
      <c r="AR11" s="105">
        <f t="shared" si="30"/>
        <v>0.124466477085743</v>
      </c>
      <c r="AS11" s="106">
        <f t="shared" si="31"/>
        <v>0.533333333333333</v>
      </c>
      <c r="AT11" s="107">
        <f t="shared" si="32"/>
        <v>81.0783653150573</v>
      </c>
    </row>
    <row r="12" spans="1:46">
      <c r="N12" s="106" t="s">
        <v>433</v>
      </c>
      <c r="O12" s="106">
        <f>IOUT/(O11)</f>
        <v>0.0133333333333333</v>
      </c>
      <c r="Q12">
        <v>5</v>
      </c>
      <c r="R12" s="105">
        <f t="shared" si="0"/>
        <v>10</v>
      </c>
      <c r="S12" s="106">
        <f t="shared" si="1"/>
        <v>0.0666666666666667</v>
      </c>
      <c r="T12" s="106">
        <f t="shared" si="2"/>
        <v>4</v>
      </c>
      <c r="U12" s="107">
        <f t="shared" si="3"/>
        <v>0.166666666666667</v>
      </c>
      <c r="V12" s="105">
        <f t="shared" si="4"/>
        <v>1</v>
      </c>
      <c r="W12" s="106">
        <f t="shared" si="5"/>
        <v>0.523609269080167</v>
      </c>
      <c r="X12" s="107">
        <f t="shared" si="6"/>
        <v>0.286210374298733</v>
      </c>
      <c r="Y12" s="105">
        <f t="shared" si="18"/>
        <v>0.63660701407923</v>
      </c>
      <c r="Z12" s="106">
        <f t="shared" si="8"/>
        <v>0.869940347412564</v>
      </c>
      <c r="AA12" s="106">
        <f t="shared" si="19"/>
        <v>0.451983936041482</v>
      </c>
      <c r="AB12" s="106">
        <v>0</v>
      </c>
      <c r="AC12" s="106">
        <f t="shared" si="20"/>
        <v>0.0020428947843955</v>
      </c>
      <c r="AD12" s="107">
        <f t="shared" si="21"/>
        <v>0.0020428947843955</v>
      </c>
      <c r="AE12" s="105">
        <f t="shared" si="22"/>
        <v>0.00581788076755741</v>
      </c>
      <c r="AF12" s="106">
        <f t="shared" si="23"/>
        <v>0.451983936041482</v>
      </c>
      <c r="AG12" s="106">
        <f t="shared" si="10"/>
        <v>0.00173646056673618</v>
      </c>
      <c r="AH12" s="106">
        <f t="shared" si="11"/>
        <v>0.0197567418183532</v>
      </c>
      <c r="AI12" s="107">
        <f t="shared" si="24"/>
        <v>0.0214932023850893</v>
      </c>
      <c r="AJ12" s="105">
        <f t="shared" si="25"/>
        <v>0.0666666666666667</v>
      </c>
      <c r="AK12" s="106">
        <f t="shared" si="26"/>
        <v>0.268702391737063</v>
      </c>
      <c r="AL12" s="106">
        <f t="shared" si="27"/>
        <v>0.0216666666666667</v>
      </c>
      <c r="AM12" s="106">
        <f t="shared" si="14"/>
        <v>0</v>
      </c>
      <c r="AN12" s="107">
        <f t="shared" si="28"/>
        <v>0.0216666666666667</v>
      </c>
      <c r="AO12" s="105">
        <f t="shared" si="15"/>
        <v>0.0020428947843955</v>
      </c>
      <c r="AP12" s="106">
        <f t="shared" si="16"/>
        <v>0.0756</v>
      </c>
      <c r="AQ12" s="107">
        <f t="shared" si="29"/>
        <v>0.0132</v>
      </c>
      <c r="AR12" s="105">
        <f t="shared" si="30"/>
        <v>0.134002763836152</v>
      </c>
      <c r="AS12" s="106">
        <f t="shared" si="31"/>
        <v>0.666666666666667</v>
      </c>
      <c r="AT12" s="107">
        <f t="shared" si="32"/>
        <v>83.2636592917007</v>
      </c>
    </row>
    <row r="13" spans="1:46">
      <c r="Q13">
        <v>6</v>
      </c>
      <c r="R13" s="105">
        <f t="shared" si="0"/>
        <v>10</v>
      </c>
      <c r="S13" s="106">
        <f t="shared" si="1"/>
        <v>0.08</v>
      </c>
      <c r="T13" s="106">
        <f t="shared" si="2"/>
        <v>4</v>
      </c>
      <c r="U13" s="107">
        <f t="shared" si="3"/>
        <v>0.2</v>
      </c>
      <c r="V13" s="105">
        <f t="shared" si="4"/>
        <v>1</v>
      </c>
      <c r="W13" s="106">
        <f t="shared" si="5"/>
        <v>0.573585215987999</v>
      </c>
      <c r="X13" s="107">
        <f t="shared" si="6"/>
        <v>0.3215540863952</v>
      </c>
      <c r="Y13" s="105">
        <f t="shared" si="18"/>
        <v>0.697368043754407</v>
      </c>
      <c r="Z13" s="106">
        <f t="shared" si="8"/>
        <v>0.977368043754407</v>
      </c>
      <c r="AA13" s="106">
        <f t="shared" si="19"/>
        <v>0.533878978344992</v>
      </c>
      <c r="AB13" s="106">
        <v>0</v>
      </c>
      <c r="AC13" s="106">
        <f t="shared" si="20"/>
        <v>0.00285026763518693</v>
      </c>
      <c r="AD13" s="107">
        <f t="shared" si="21"/>
        <v>0.00285026763518693</v>
      </c>
      <c r="AE13" s="105">
        <f t="shared" si="22"/>
        <v>0.00917736345580799</v>
      </c>
      <c r="AF13" s="106">
        <f t="shared" si="23"/>
        <v>0.533878978344992</v>
      </c>
      <c r="AG13" s="106">
        <f t="shared" si="10"/>
        <v>0.00242272748990889</v>
      </c>
      <c r="AH13" s="106">
        <f t="shared" si="11"/>
        <v>0.0237080901820238</v>
      </c>
      <c r="AI13" s="107">
        <f t="shared" si="24"/>
        <v>0.0261308176719327</v>
      </c>
      <c r="AJ13" s="105">
        <f t="shared" si="25"/>
        <v>0.08</v>
      </c>
      <c r="AK13" s="106">
        <f t="shared" si="26"/>
        <v>0.31998124534669</v>
      </c>
      <c r="AL13" s="106">
        <f t="shared" si="27"/>
        <v>0.026</v>
      </c>
      <c r="AM13" s="106">
        <f t="shared" si="14"/>
        <v>0</v>
      </c>
      <c r="AN13" s="107">
        <f t="shared" si="28"/>
        <v>0.026</v>
      </c>
      <c r="AO13" s="105">
        <f t="shared" si="15"/>
        <v>0.00285026763518693</v>
      </c>
      <c r="AP13" s="106">
        <f t="shared" si="16"/>
        <v>0.0756</v>
      </c>
      <c r="AQ13" s="107">
        <f t="shared" si="29"/>
        <v>0.0132</v>
      </c>
      <c r="AR13" s="105">
        <f t="shared" si="30"/>
        <v>0.14378108530712</v>
      </c>
      <c r="AS13" s="106">
        <f t="shared" si="31"/>
        <v>0.8</v>
      </c>
      <c r="AT13" s="107">
        <f t="shared" si="32"/>
        <v>84.7654199108757</v>
      </c>
    </row>
    <row r="14" spans="1:46">
      <c r="Q14">
        <v>7</v>
      </c>
      <c r="R14" s="105">
        <f t="shared" si="0"/>
        <v>10</v>
      </c>
      <c r="S14" s="106">
        <f t="shared" si="1"/>
        <v>0.0933333333333333</v>
      </c>
      <c r="T14" s="106">
        <f t="shared" si="2"/>
        <v>4</v>
      </c>
      <c r="U14" s="107">
        <f t="shared" si="3"/>
        <v>0.233333333333333</v>
      </c>
      <c r="V14" s="105">
        <f t="shared" si="4"/>
        <v>1</v>
      </c>
      <c r="W14" s="106">
        <f t="shared" si="5"/>
        <v>0.619542842209749</v>
      </c>
      <c r="X14" s="107">
        <f t="shared" si="6"/>
        <v>0.355290470217233</v>
      </c>
      <c r="Y14" s="105">
        <f t="shared" si="18"/>
        <v>0.753243577154709</v>
      </c>
      <c r="Z14" s="106">
        <f t="shared" si="8"/>
        <v>1.07991024382138</v>
      </c>
      <c r="AA14" s="106">
        <f t="shared" si="19"/>
        <v>0.615590932701349</v>
      </c>
      <c r="AB14" s="106">
        <v>0</v>
      </c>
      <c r="AC14" s="106">
        <f t="shared" si="20"/>
        <v>0.00378952196424117</v>
      </c>
      <c r="AD14" s="107">
        <f t="shared" si="21"/>
        <v>0.00378952196424117</v>
      </c>
      <c r="AE14" s="105">
        <f t="shared" si="22"/>
        <v>0.0134922663414567</v>
      </c>
      <c r="AF14" s="106">
        <f t="shared" si="23"/>
        <v>0.615590932701349</v>
      </c>
      <c r="AG14" s="106">
        <f t="shared" si="10"/>
        <v>0.00322109366960499</v>
      </c>
      <c r="AH14" s="106">
        <f t="shared" si="11"/>
        <v>0.0276594385456944</v>
      </c>
      <c r="AI14" s="107">
        <f t="shared" si="24"/>
        <v>0.0308805322152994</v>
      </c>
      <c r="AJ14" s="105">
        <f t="shared" si="25"/>
        <v>0.0933333333333333</v>
      </c>
      <c r="AK14" s="106">
        <f t="shared" si="26"/>
        <v>0.371636886387533</v>
      </c>
      <c r="AL14" s="106">
        <f t="shared" si="27"/>
        <v>0.0303333333333333</v>
      </c>
      <c r="AM14" s="106">
        <f t="shared" si="14"/>
        <v>0</v>
      </c>
      <c r="AN14" s="107">
        <f t="shared" si="28"/>
        <v>0.0303333333333333</v>
      </c>
      <c r="AO14" s="105">
        <f t="shared" si="15"/>
        <v>0.00378952196424117</v>
      </c>
      <c r="AP14" s="106">
        <f t="shared" si="16"/>
        <v>0.0756</v>
      </c>
      <c r="AQ14" s="107">
        <f t="shared" si="29"/>
        <v>0.0132</v>
      </c>
      <c r="AR14" s="105">
        <f t="shared" si="30"/>
        <v>0.153803387512874</v>
      </c>
      <c r="AS14" s="106">
        <f t="shared" si="31"/>
        <v>0.933333333333333</v>
      </c>
      <c r="AT14" s="107">
        <f t="shared" si="32"/>
        <v>85.8524337773122</v>
      </c>
    </row>
    <row r="15" spans="1:46">
      <c r="O15">
        <f>0.205*2.5/(Lm*Fsw)</f>
        <v>0.155775075987842</v>
      </c>
      <c r="Q15">
        <v>8</v>
      </c>
      <c r="R15" s="105">
        <f t="shared" si="0"/>
        <v>10</v>
      </c>
      <c r="S15" s="106">
        <f t="shared" si="1"/>
        <v>0.106666666666667</v>
      </c>
      <c r="T15" s="106">
        <f t="shared" si="2"/>
        <v>4</v>
      </c>
      <c r="U15" s="107">
        <f t="shared" si="3"/>
        <v>0.266666666666667</v>
      </c>
      <c r="V15" s="105">
        <f t="shared" si="4"/>
        <v>1</v>
      </c>
      <c r="W15" s="106">
        <f t="shared" si="5"/>
        <v>0.662319157707722</v>
      </c>
      <c r="X15" s="107">
        <f t="shared" si="6"/>
        <v>0.387754329749756</v>
      </c>
      <c r="Y15" s="105">
        <f t="shared" si="18"/>
        <v>0.805251255571699</v>
      </c>
      <c r="Z15" s="106">
        <f t="shared" si="8"/>
        <v>1.17858458890503</v>
      </c>
      <c r="AA15" s="106">
        <f t="shared" si="19"/>
        <v>0.697284445419603</v>
      </c>
      <c r="AB15" s="106">
        <v>0</v>
      </c>
      <c r="AC15" s="106">
        <f t="shared" si="20"/>
        <v>0.00486205597824123</v>
      </c>
      <c r="AD15" s="107">
        <f t="shared" si="21"/>
        <v>0.00486205597824123</v>
      </c>
      <c r="AE15" s="105">
        <f t="shared" si="22"/>
        <v>0.0188393004859085</v>
      </c>
      <c r="AF15" s="106">
        <f t="shared" si="23"/>
        <v>0.697284445419603</v>
      </c>
      <c r="AG15" s="106">
        <f t="shared" si="10"/>
        <v>0.00413274758150505</v>
      </c>
      <c r="AH15" s="106">
        <f t="shared" si="11"/>
        <v>0.0316107869093651</v>
      </c>
      <c r="AI15" s="107">
        <f t="shared" si="24"/>
        <v>0.0357435344908701</v>
      </c>
      <c r="AJ15" s="105">
        <f t="shared" si="25"/>
        <v>0.106666666666667</v>
      </c>
      <c r="AK15" s="106">
        <f t="shared" si="26"/>
        <v>0.423719507286086</v>
      </c>
      <c r="AL15" s="106">
        <f t="shared" si="27"/>
        <v>0.0346666666666667</v>
      </c>
      <c r="AM15" s="106">
        <f t="shared" si="14"/>
        <v>0</v>
      </c>
      <c r="AN15" s="107">
        <f t="shared" si="28"/>
        <v>0.0346666666666667</v>
      </c>
      <c r="AO15" s="105">
        <f t="shared" si="15"/>
        <v>0.00486205597824123</v>
      </c>
      <c r="AP15" s="106">
        <f t="shared" si="16"/>
        <v>0.0756</v>
      </c>
      <c r="AQ15" s="107">
        <f t="shared" si="29"/>
        <v>0.0132</v>
      </c>
      <c r="AR15" s="105">
        <f t="shared" si="30"/>
        <v>0.164072257135778</v>
      </c>
      <c r="AS15" s="106">
        <f t="shared" si="31"/>
        <v>1.06666666666667</v>
      </c>
      <c r="AT15" s="107">
        <f t="shared" si="32"/>
        <v>86.6688008347972</v>
      </c>
    </row>
    <row r="16" spans="1:46">
      <c r="Q16">
        <v>9</v>
      </c>
      <c r="R16" s="105">
        <f t="shared" si="0"/>
        <v>10</v>
      </c>
      <c r="S16" s="106">
        <f t="shared" si="1"/>
        <v>0.12</v>
      </c>
      <c r="T16" s="106">
        <f t="shared" si="2"/>
        <v>4</v>
      </c>
      <c r="U16" s="107">
        <f t="shared" si="3"/>
        <v>0.3</v>
      </c>
      <c r="V16" s="105">
        <f t="shared" si="4"/>
        <v>1</v>
      </c>
      <c r="W16" s="106">
        <f t="shared" si="5"/>
        <v>0.702495551587339</v>
      </c>
      <c r="X16" s="107">
        <f t="shared" si="6"/>
        <v>0.419178220634936</v>
      </c>
      <c r="Y16" s="105">
        <f t="shared" si="18"/>
        <v>0.854097935060595</v>
      </c>
      <c r="Z16" s="106">
        <f t="shared" si="8"/>
        <v>1.27409793506059</v>
      </c>
      <c r="AA16" s="106">
        <f t="shared" si="19"/>
        <v>0.779068180822645</v>
      </c>
      <c r="AB16" s="106">
        <v>0</v>
      </c>
      <c r="AC16" s="106">
        <f t="shared" si="20"/>
        <v>0.00606947230370305</v>
      </c>
      <c r="AD16" s="107">
        <f t="shared" si="21"/>
        <v>0.00606947230370305</v>
      </c>
      <c r="AE16" s="105">
        <f t="shared" si="22"/>
        <v>0.0252898398571442</v>
      </c>
      <c r="AF16" s="106">
        <f t="shared" si="23"/>
        <v>0.779068180822645</v>
      </c>
      <c r="AG16" s="106">
        <f t="shared" si="10"/>
        <v>0.00515905145814759</v>
      </c>
      <c r="AH16" s="106">
        <f t="shared" si="11"/>
        <v>0.0355621352730357</v>
      </c>
      <c r="AI16" s="107">
        <f t="shared" si="24"/>
        <v>0.0407211867311833</v>
      </c>
      <c r="AJ16" s="105">
        <f t="shared" si="25"/>
        <v>0.12</v>
      </c>
      <c r="AK16" s="106">
        <f t="shared" si="26"/>
        <v>0.476257183593959</v>
      </c>
      <c r="AL16" s="106">
        <f t="shared" si="27"/>
        <v>0.039</v>
      </c>
      <c r="AM16" s="106">
        <f t="shared" si="14"/>
        <v>0</v>
      </c>
      <c r="AN16" s="107">
        <f t="shared" si="28"/>
        <v>0.039</v>
      </c>
      <c r="AO16" s="105">
        <f t="shared" si="15"/>
        <v>0.00606947230370305</v>
      </c>
      <c r="AP16" s="106">
        <f t="shared" si="16"/>
        <v>0.0756</v>
      </c>
      <c r="AQ16" s="107">
        <f t="shared" si="29"/>
        <v>0.0132</v>
      </c>
      <c r="AR16" s="105">
        <f t="shared" si="30"/>
        <v>0.174590659034886</v>
      </c>
      <c r="AS16" s="106">
        <f t="shared" si="31"/>
        <v>1.2</v>
      </c>
      <c r="AT16" s="107">
        <f t="shared" si="32"/>
        <v>87.2987163205759</v>
      </c>
    </row>
    <row r="17" spans="17:46">
      <c r="Q17">
        <v>10</v>
      </c>
      <c r="R17" s="105">
        <f t="shared" si="0"/>
        <v>10</v>
      </c>
      <c r="S17" s="106">
        <f t="shared" si="1"/>
        <v>0.133333333333333</v>
      </c>
      <c r="T17" s="106">
        <f t="shared" si="2"/>
        <v>4</v>
      </c>
      <c r="U17" s="107">
        <f t="shared" si="3"/>
        <v>0.333333333333333</v>
      </c>
      <c r="V17" s="105">
        <f t="shared" si="4"/>
        <v>2</v>
      </c>
      <c r="W17" s="106">
        <f t="shared" si="5"/>
        <v>0.714285714285714</v>
      </c>
      <c r="X17" s="107">
        <f t="shared" si="6"/>
        <v>0.285714285714286</v>
      </c>
      <c r="Y17" s="105">
        <f t="shared" si="18"/>
        <v>0.868432479374729</v>
      </c>
      <c r="Z17" s="106">
        <f t="shared" si="8"/>
        <v>1.3350991460414</v>
      </c>
      <c r="AA17" s="106">
        <f t="shared" si="19"/>
        <v>0.417083954834662</v>
      </c>
      <c r="AB17" s="106">
        <v>0</v>
      </c>
      <c r="AC17" s="106">
        <f t="shared" si="20"/>
        <v>0.00173959025380523</v>
      </c>
      <c r="AD17" s="107">
        <f t="shared" si="21"/>
        <v>0.00173959025380523</v>
      </c>
      <c r="AE17" s="105">
        <f t="shared" si="22"/>
        <v>0.0317460317460317</v>
      </c>
      <c r="AF17" s="106">
        <f t="shared" si="23"/>
        <v>0.417083954834662</v>
      </c>
      <c r="AG17" s="106">
        <f t="shared" si="10"/>
        <v>0.00147865171573444</v>
      </c>
      <c r="AH17" s="106">
        <f t="shared" si="11"/>
        <v>0.0395134836367063</v>
      </c>
      <c r="AI17" s="107">
        <f t="shared" si="24"/>
        <v>0.0409921353524408</v>
      </c>
      <c r="AJ17" s="105">
        <f t="shared" si="25"/>
        <v>0.133333333333333</v>
      </c>
      <c r="AK17" s="106">
        <f t="shared" si="26"/>
        <v>0.499839381410325</v>
      </c>
      <c r="AL17" s="106">
        <f t="shared" si="27"/>
        <v>0.0433333333333333</v>
      </c>
      <c r="AM17" s="106">
        <f t="shared" si="14"/>
        <v>0</v>
      </c>
      <c r="AN17" s="107">
        <f t="shared" si="28"/>
        <v>0.0433333333333333</v>
      </c>
      <c r="AO17" s="105">
        <f t="shared" si="15"/>
        <v>0.00173959025380523</v>
      </c>
      <c r="AP17" s="106">
        <f t="shared" si="16"/>
        <v>0.0756</v>
      </c>
      <c r="AQ17" s="107">
        <f t="shared" si="29"/>
        <v>0.0132</v>
      </c>
      <c r="AR17" s="105">
        <f t="shared" si="30"/>
        <v>0.174865058939579</v>
      </c>
      <c r="AS17" s="106">
        <f t="shared" si="31"/>
        <v>1.33333333333333</v>
      </c>
      <c r="AT17" s="107">
        <f t="shared" si="32"/>
        <v>88.4056991549997</v>
      </c>
    </row>
    <row r="18" spans="17:46">
      <c r="Q18">
        <v>11</v>
      </c>
      <c r="R18" s="105">
        <f t="shared" si="0"/>
        <v>10</v>
      </c>
      <c r="S18" s="106">
        <f t="shared" si="1"/>
        <v>0.146666666666667</v>
      </c>
      <c r="T18" s="106">
        <f t="shared" si="2"/>
        <v>4</v>
      </c>
      <c r="U18" s="107">
        <f t="shared" si="3"/>
        <v>0.366666666666667</v>
      </c>
      <c r="V18" s="105">
        <f t="shared" si="4"/>
        <v>2</v>
      </c>
      <c r="W18" s="106">
        <f t="shared" si="5"/>
        <v>0.714285714285714</v>
      </c>
      <c r="X18" s="107">
        <f t="shared" si="6"/>
        <v>0.285714285714286</v>
      </c>
      <c r="Y18" s="105">
        <f t="shared" si="18"/>
        <v>0.868432479374729</v>
      </c>
      <c r="Z18" s="106">
        <f t="shared" si="8"/>
        <v>1.38176581270806</v>
      </c>
      <c r="AA18" s="106">
        <f t="shared" si="19"/>
        <v>0.444176044732104</v>
      </c>
      <c r="AB18" s="106">
        <v>0</v>
      </c>
      <c r="AC18" s="106">
        <f t="shared" si="20"/>
        <v>0.00197292358713856</v>
      </c>
      <c r="AD18" s="107">
        <f t="shared" si="21"/>
        <v>0.00197292358713856</v>
      </c>
      <c r="AE18" s="105">
        <f t="shared" si="22"/>
        <v>0.0384126984126984</v>
      </c>
      <c r="AF18" s="106">
        <f t="shared" si="23"/>
        <v>0.444176044732104</v>
      </c>
      <c r="AG18" s="106">
        <f t="shared" si="10"/>
        <v>0.00167698504906778</v>
      </c>
      <c r="AH18" s="106">
        <f t="shared" si="11"/>
        <v>0.043464832000377</v>
      </c>
      <c r="AI18" s="107">
        <f t="shared" si="24"/>
        <v>0.0451418170494447</v>
      </c>
      <c r="AJ18" s="105">
        <f t="shared" si="25"/>
        <v>0.146666666666667</v>
      </c>
      <c r="AK18" s="106">
        <f t="shared" si="26"/>
        <v>0.523913326419857</v>
      </c>
      <c r="AL18" s="106">
        <f t="shared" si="27"/>
        <v>0.0476666666666667</v>
      </c>
      <c r="AM18" s="106">
        <f t="shared" si="14"/>
        <v>0</v>
      </c>
      <c r="AN18" s="107">
        <f t="shared" si="28"/>
        <v>0.0476666666666667</v>
      </c>
      <c r="AO18" s="105">
        <f t="shared" si="15"/>
        <v>0.00197292358713856</v>
      </c>
      <c r="AP18" s="106">
        <f t="shared" si="16"/>
        <v>0.0756</v>
      </c>
      <c r="AQ18" s="107">
        <f t="shared" si="29"/>
        <v>0.0132</v>
      </c>
      <c r="AR18" s="105">
        <f t="shared" si="30"/>
        <v>0.18358140730325</v>
      </c>
      <c r="AS18" s="106">
        <f t="shared" si="31"/>
        <v>1.46666666666667</v>
      </c>
      <c r="AT18" s="107">
        <f t="shared" si="32"/>
        <v>88.8755266436023</v>
      </c>
    </row>
    <row r="19" spans="17:46">
      <c r="Q19">
        <v>12</v>
      </c>
      <c r="R19" s="105">
        <f t="shared" si="0"/>
        <v>10</v>
      </c>
      <c r="S19" s="106">
        <f t="shared" si="1"/>
        <v>0.16</v>
      </c>
      <c r="T19" s="106">
        <f t="shared" si="2"/>
        <v>4</v>
      </c>
      <c r="U19" s="107">
        <f t="shared" si="3"/>
        <v>0.4</v>
      </c>
      <c r="V19" s="105">
        <f t="shared" si="4"/>
        <v>2</v>
      </c>
      <c r="W19" s="106">
        <f t="shared" si="5"/>
        <v>0.714285714285714</v>
      </c>
      <c r="X19" s="107">
        <f t="shared" si="6"/>
        <v>0.285714285714286</v>
      </c>
      <c r="Y19" s="105">
        <f t="shared" si="18"/>
        <v>0.868432479374729</v>
      </c>
      <c r="Z19" s="106">
        <f t="shared" si="8"/>
        <v>1.42843247937473</v>
      </c>
      <c r="AA19" s="106">
        <f t="shared" si="19"/>
        <v>0.472067700938553</v>
      </c>
      <c r="AB19" s="106">
        <v>0</v>
      </c>
      <c r="AC19" s="106">
        <f t="shared" si="20"/>
        <v>0.00222847914269412</v>
      </c>
      <c r="AD19" s="107">
        <f t="shared" si="21"/>
        <v>0.00222847914269412</v>
      </c>
      <c r="AE19" s="105">
        <f t="shared" si="22"/>
        <v>0.0457142857142857</v>
      </c>
      <c r="AF19" s="106">
        <f t="shared" si="23"/>
        <v>0.472067700938553</v>
      </c>
      <c r="AG19" s="106">
        <f t="shared" si="10"/>
        <v>0.00189420727129</v>
      </c>
      <c r="AH19" s="106">
        <f t="shared" si="11"/>
        <v>0.0474161803640476</v>
      </c>
      <c r="AI19" s="107">
        <f t="shared" si="24"/>
        <v>0.0493103876353376</v>
      </c>
      <c r="AJ19" s="105">
        <f t="shared" si="25"/>
        <v>0.16</v>
      </c>
      <c r="AK19" s="106">
        <f t="shared" si="26"/>
        <v>0.548065127914947</v>
      </c>
      <c r="AL19" s="106">
        <f t="shared" si="27"/>
        <v>0.052</v>
      </c>
      <c r="AM19" s="106">
        <f t="shared" si="14"/>
        <v>0</v>
      </c>
      <c r="AN19" s="107">
        <f t="shared" si="28"/>
        <v>0.052</v>
      </c>
      <c r="AO19" s="105">
        <f t="shared" si="15"/>
        <v>0.00222847914269412</v>
      </c>
      <c r="AP19" s="106">
        <f t="shared" si="16"/>
        <v>0.0756</v>
      </c>
      <c r="AQ19" s="107">
        <f t="shared" si="29"/>
        <v>0.0132</v>
      </c>
      <c r="AR19" s="105">
        <f t="shared" si="30"/>
        <v>0.192338866778032</v>
      </c>
      <c r="AS19" s="106">
        <f t="shared" si="31"/>
        <v>1.6</v>
      </c>
      <c r="AT19" s="107">
        <f t="shared" si="32"/>
        <v>89.2688335703066</v>
      </c>
    </row>
    <row r="20" spans="17:46">
      <c r="Q20">
        <v>13</v>
      </c>
      <c r="R20" s="105">
        <f t="shared" si="0"/>
        <v>10</v>
      </c>
      <c r="S20" s="106">
        <f t="shared" si="1"/>
        <v>0.173333333333333</v>
      </c>
      <c r="T20" s="106">
        <f t="shared" si="2"/>
        <v>4</v>
      </c>
      <c r="U20" s="107">
        <f t="shared" si="3"/>
        <v>0.433333333333333</v>
      </c>
      <c r="V20" s="105">
        <f t="shared" si="4"/>
        <v>2</v>
      </c>
      <c r="W20" s="106">
        <f t="shared" si="5"/>
        <v>0.714285714285714</v>
      </c>
      <c r="X20" s="107">
        <f t="shared" si="6"/>
        <v>0.285714285714286</v>
      </c>
      <c r="Y20" s="105">
        <f t="shared" si="18"/>
        <v>0.868432479374729</v>
      </c>
      <c r="Z20" s="106">
        <f t="shared" ref="Z20:Z71" si="33">CHOOSE(V20,Y20,U20+S20+(Y20))</f>
        <v>1.4750991460414</v>
      </c>
      <c r="AA20" s="106">
        <f t="shared" si="19"/>
        <v>0.500625301045792</v>
      </c>
      <c r="AB20" s="106">
        <v>0</v>
      </c>
      <c r="AC20" s="106">
        <f t="shared" si="20"/>
        <v>0.00250625692047189</v>
      </c>
      <c r="AD20" s="107">
        <f t="shared" si="21"/>
        <v>0.00250625692047189</v>
      </c>
      <c r="AE20" s="105">
        <f t="shared" si="22"/>
        <v>0.0536507936507937</v>
      </c>
      <c r="AF20" s="106">
        <f t="shared" si="23"/>
        <v>0.500625301045792</v>
      </c>
      <c r="AG20" s="106">
        <f t="shared" si="10"/>
        <v>0.00213031838240111</v>
      </c>
      <c r="AH20" s="106">
        <f t="shared" si="11"/>
        <v>0.0513675287277182</v>
      </c>
      <c r="AI20" s="107">
        <f t="shared" si="24"/>
        <v>0.0534978471101193</v>
      </c>
      <c r="AJ20" s="105">
        <f t="shared" si="25"/>
        <v>0.173333333333333</v>
      </c>
      <c r="AK20" s="106">
        <f t="shared" si="26"/>
        <v>0.572284928787207</v>
      </c>
      <c r="AL20" s="106">
        <f t="shared" si="27"/>
        <v>0.0563333333333333</v>
      </c>
      <c r="AM20" s="106">
        <f t="shared" si="14"/>
        <v>0</v>
      </c>
      <c r="AN20" s="107">
        <f t="shared" si="28"/>
        <v>0.0563333333333333</v>
      </c>
      <c r="AO20" s="105">
        <f t="shared" si="15"/>
        <v>0.00250625692047189</v>
      </c>
      <c r="AP20" s="106">
        <f t="shared" si="16"/>
        <v>0.0756</v>
      </c>
      <c r="AQ20" s="107">
        <f t="shared" si="29"/>
        <v>0.0132</v>
      </c>
      <c r="AR20" s="105">
        <f t="shared" si="30"/>
        <v>0.201137437363925</v>
      </c>
      <c r="AS20" s="106">
        <f t="shared" si="31"/>
        <v>1.73333333333333</v>
      </c>
      <c r="AT20" s="107">
        <f t="shared" si="32"/>
        <v>89.6024566299636</v>
      </c>
    </row>
    <row r="21" spans="17:46">
      <c r="Q21">
        <v>14</v>
      </c>
      <c r="R21" s="105">
        <f t="shared" si="0"/>
        <v>10</v>
      </c>
      <c r="S21" s="106">
        <f t="shared" si="1"/>
        <v>0.186666666666667</v>
      </c>
      <c r="T21" s="106">
        <f t="shared" si="2"/>
        <v>4</v>
      </c>
      <c r="U21" s="107">
        <f t="shared" si="3"/>
        <v>0.466666666666667</v>
      </c>
      <c r="V21" s="105">
        <f t="shared" si="4"/>
        <v>2</v>
      </c>
      <c r="W21" s="106">
        <f t="shared" si="5"/>
        <v>0.714285714285714</v>
      </c>
      <c r="X21" s="107">
        <f t="shared" si="6"/>
        <v>0.285714285714286</v>
      </c>
      <c r="Y21" s="105">
        <f t="shared" si="18"/>
        <v>0.868432479374729</v>
      </c>
      <c r="Z21" s="106">
        <f t="shared" si="33"/>
        <v>1.52176581270806</v>
      </c>
      <c r="AA21" s="106">
        <f t="shared" si="19"/>
        <v>0.529741155704547</v>
      </c>
      <c r="AB21" s="106">
        <v>0</v>
      </c>
      <c r="AC21" s="106">
        <f t="shared" si="20"/>
        <v>0.00280625692047189</v>
      </c>
      <c r="AD21" s="107">
        <f t="shared" si="21"/>
        <v>0.00280625692047189</v>
      </c>
      <c r="AE21" s="105">
        <f t="shared" si="22"/>
        <v>0.0622222222222222</v>
      </c>
      <c r="AF21" s="106">
        <f t="shared" si="23"/>
        <v>0.529741155704547</v>
      </c>
      <c r="AG21" s="106">
        <f t="shared" si="10"/>
        <v>0.00238531838240111</v>
      </c>
      <c r="AH21" s="106">
        <f t="shared" si="11"/>
        <v>0.0553188770913889</v>
      </c>
      <c r="AI21" s="107">
        <f t="shared" si="24"/>
        <v>0.05770419547379</v>
      </c>
      <c r="AJ21" s="105">
        <f t="shared" si="25"/>
        <v>0.186666666666667</v>
      </c>
      <c r="AK21" s="106">
        <f t="shared" si="26"/>
        <v>0.596564447014717</v>
      </c>
      <c r="AL21" s="106">
        <f t="shared" si="27"/>
        <v>0.0606666666666667</v>
      </c>
      <c r="AM21" s="106">
        <f t="shared" si="14"/>
        <v>0</v>
      </c>
      <c r="AN21" s="107">
        <f t="shared" si="28"/>
        <v>0.0606666666666667</v>
      </c>
      <c r="AO21" s="105">
        <f t="shared" si="15"/>
        <v>0.00280625692047189</v>
      </c>
      <c r="AP21" s="106">
        <f t="shared" si="16"/>
        <v>0.0756</v>
      </c>
      <c r="AQ21" s="107">
        <f t="shared" si="29"/>
        <v>0.0132</v>
      </c>
      <c r="AR21" s="105">
        <f t="shared" si="30"/>
        <v>0.209977119060929</v>
      </c>
      <c r="AS21" s="106">
        <f t="shared" si="31"/>
        <v>1.86666666666667</v>
      </c>
      <c r="AT21" s="107">
        <f t="shared" si="32"/>
        <v>89.888630852144</v>
      </c>
    </row>
    <row r="22" spans="17:46">
      <c r="Q22">
        <v>15</v>
      </c>
      <c r="R22" s="105">
        <f t="shared" si="0"/>
        <v>10</v>
      </c>
      <c r="S22" s="106">
        <f t="shared" si="1"/>
        <v>0.2</v>
      </c>
      <c r="T22" s="106">
        <f t="shared" si="2"/>
        <v>4</v>
      </c>
      <c r="U22" s="107">
        <f t="shared" si="3"/>
        <v>0.5</v>
      </c>
      <c r="V22" s="105">
        <f t="shared" si="4"/>
        <v>2</v>
      </c>
      <c r="W22" s="106">
        <f t="shared" si="5"/>
        <v>0.714285714285714</v>
      </c>
      <c r="X22" s="107">
        <f t="shared" si="6"/>
        <v>0.285714285714286</v>
      </c>
      <c r="Y22" s="105">
        <f t="shared" si="18"/>
        <v>0.868432479374729</v>
      </c>
      <c r="Z22" s="106">
        <f t="shared" si="33"/>
        <v>1.56843247937473</v>
      </c>
      <c r="AA22" s="106">
        <f t="shared" si="19"/>
        <v>0.559328091793548</v>
      </c>
      <c r="AB22" s="106">
        <v>0</v>
      </c>
      <c r="AC22" s="106">
        <f t="shared" si="20"/>
        <v>0.00312847914269412</v>
      </c>
      <c r="AD22" s="107">
        <f t="shared" si="21"/>
        <v>0.00312847914269412</v>
      </c>
      <c r="AE22" s="105">
        <f t="shared" si="22"/>
        <v>0.0714285714285714</v>
      </c>
      <c r="AF22" s="106">
        <f t="shared" si="23"/>
        <v>0.559328091793548</v>
      </c>
      <c r="AG22" s="106">
        <f t="shared" si="10"/>
        <v>0.00265920727129</v>
      </c>
      <c r="AH22" s="106">
        <f t="shared" si="11"/>
        <v>0.0592702254550595</v>
      </c>
      <c r="AI22" s="107">
        <f t="shared" si="24"/>
        <v>0.0619294327263495</v>
      </c>
      <c r="AJ22" s="105">
        <f t="shared" si="25"/>
        <v>0.2</v>
      </c>
      <c r="AK22" s="106">
        <f t="shared" si="26"/>
        <v>0.620896677081957</v>
      </c>
      <c r="AL22" s="106">
        <f t="shared" si="27"/>
        <v>0.065</v>
      </c>
      <c r="AM22" s="106">
        <f t="shared" si="14"/>
        <v>0</v>
      </c>
      <c r="AN22" s="107">
        <f t="shared" si="28"/>
        <v>0.065</v>
      </c>
      <c r="AO22" s="105">
        <f t="shared" si="15"/>
        <v>0.00312847914269412</v>
      </c>
      <c r="AP22" s="106">
        <f t="shared" si="16"/>
        <v>0.0756</v>
      </c>
      <c r="AQ22" s="107">
        <f t="shared" si="29"/>
        <v>0.0132</v>
      </c>
      <c r="AR22" s="105">
        <f t="shared" si="30"/>
        <v>0.218857911869044</v>
      </c>
      <c r="AS22" s="106">
        <f t="shared" si="31"/>
        <v>2</v>
      </c>
      <c r="AT22" s="107">
        <f t="shared" si="32"/>
        <v>90.1364611632707</v>
      </c>
    </row>
    <row r="23" spans="17:46">
      <c r="Q23">
        <v>16</v>
      </c>
      <c r="R23" s="105">
        <f t="shared" si="0"/>
        <v>10</v>
      </c>
      <c r="S23" s="106">
        <f t="shared" si="1"/>
        <v>0.213333333333333</v>
      </c>
      <c r="T23" s="106">
        <f t="shared" si="2"/>
        <v>4</v>
      </c>
      <c r="U23" s="107">
        <f t="shared" si="3"/>
        <v>0.533333333333333</v>
      </c>
      <c r="V23" s="105">
        <f t="shared" si="4"/>
        <v>2</v>
      </c>
      <c r="W23" s="106">
        <f t="shared" si="5"/>
        <v>0.714285714285714</v>
      </c>
      <c r="X23" s="107">
        <f t="shared" si="6"/>
        <v>0.285714285714286</v>
      </c>
      <c r="Y23" s="105">
        <f t="shared" si="18"/>
        <v>0.868432479374729</v>
      </c>
      <c r="Z23" s="106">
        <f t="shared" si="33"/>
        <v>1.6150991460414</v>
      </c>
      <c r="AA23" s="106">
        <f t="shared" si="19"/>
        <v>0.589315160770412</v>
      </c>
      <c r="AB23" s="106">
        <v>0</v>
      </c>
      <c r="AC23" s="106">
        <f t="shared" si="20"/>
        <v>0.00347292358713856</v>
      </c>
      <c r="AD23" s="107">
        <f t="shared" si="21"/>
        <v>0.00347292358713856</v>
      </c>
      <c r="AE23" s="105">
        <f t="shared" si="22"/>
        <v>0.0812698412698413</v>
      </c>
      <c r="AF23" s="106">
        <f t="shared" si="23"/>
        <v>0.589315160770412</v>
      </c>
      <c r="AG23" s="106">
        <f t="shared" si="10"/>
        <v>0.00295198504906778</v>
      </c>
      <c r="AH23" s="106">
        <f t="shared" si="11"/>
        <v>0.0632215738187301</v>
      </c>
      <c r="AI23" s="107">
        <f t="shared" si="24"/>
        <v>0.0661735588677979</v>
      </c>
      <c r="AJ23" s="105">
        <f t="shared" si="25"/>
        <v>0.213333333333333</v>
      </c>
      <c r="AK23" s="106">
        <f t="shared" si="26"/>
        <v>0.64527565599928</v>
      </c>
      <c r="AL23" s="106">
        <f t="shared" si="27"/>
        <v>0.0693333333333333</v>
      </c>
      <c r="AM23" s="106">
        <f t="shared" si="14"/>
        <v>0</v>
      </c>
      <c r="AN23" s="107">
        <f t="shared" si="28"/>
        <v>0.0693333333333333</v>
      </c>
      <c r="AO23" s="105">
        <f t="shared" si="15"/>
        <v>0.00347292358713856</v>
      </c>
      <c r="AP23" s="106">
        <f t="shared" si="16"/>
        <v>0.0756</v>
      </c>
      <c r="AQ23" s="107">
        <f t="shared" si="29"/>
        <v>0.0132</v>
      </c>
      <c r="AR23" s="105">
        <f t="shared" si="30"/>
        <v>0.22777981578827</v>
      </c>
      <c r="AS23" s="106">
        <f t="shared" si="31"/>
        <v>2.13333333333333</v>
      </c>
      <c r="AT23" s="107">
        <f t="shared" si="32"/>
        <v>90.3528631877295</v>
      </c>
    </row>
    <row r="24" spans="17:46">
      <c r="Q24">
        <v>17</v>
      </c>
      <c r="R24" s="105">
        <f t="shared" si="0"/>
        <v>10</v>
      </c>
      <c r="S24" s="106">
        <f t="shared" si="1"/>
        <v>0.226666666666667</v>
      </c>
      <c r="T24" s="106">
        <f t="shared" si="2"/>
        <v>4</v>
      </c>
      <c r="U24" s="107">
        <f t="shared" si="3"/>
        <v>0.566666666666667</v>
      </c>
      <c r="V24" s="105">
        <f t="shared" si="4"/>
        <v>2</v>
      </c>
      <c r="W24" s="106">
        <f t="shared" si="5"/>
        <v>0.714285714285714</v>
      </c>
      <c r="X24" s="107">
        <f t="shared" si="6"/>
        <v>0.285714285714286</v>
      </c>
      <c r="Y24" s="105">
        <f t="shared" si="18"/>
        <v>0.868432479374729</v>
      </c>
      <c r="Z24" s="106">
        <f t="shared" si="33"/>
        <v>1.66176581270806</v>
      </c>
      <c r="AA24" s="106">
        <f t="shared" si="19"/>
        <v>0.619644273257264</v>
      </c>
      <c r="AB24" s="106">
        <v>0</v>
      </c>
      <c r="AC24" s="106">
        <f t="shared" si="20"/>
        <v>0.00383959025380523</v>
      </c>
      <c r="AD24" s="107">
        <f t="shared" si="21"/>
        <v>0.00383959025380523</v>
      </c>
      <c r="AE24" s="105">
        <f t="shared" si="22"/>
        <v>0.0917460317460317</v>
      </c>
      <c r="AF24" s="106">
        <f t="shared" si="23"/>
        <v>0.619644273257264</v>
      </c>
      <c r="AG24" s="106">
        <f t="shared" si="10"/>
        <v>0.00326365171573444</v>
      </c>
      <c r="AH24" s="106">
        <f t="shared" si="11"/>
        <v>0.0671729221824007</v>
      </c>
      <c r="AI24" s="107">
        <f t="shared" si="24"/>
        <v>0.0704365738981352</v>
      </c>
      <c r="AJ24" s="105">
        <f t="shared" si="25"/>
        <v>0.226666666666667</v>
      </c>
      <c r="AK24" s="106">
        <f t="shared" si="26"/>
        <v>0.669696278385681</v>
      </c>
      <c r="AL24" s="106">
        <f t="shared" si="27"/>
        <v>0.0736666666666667</v>
      </c>
      <c r="AM24" s="106">
        <f t="shared" si="14"/>
        <v>0</v>
      </c>
      <c r="AN24" s="107">
        <f t="shared" si="28"/>
        <v>0.0736666666666667</v>
      </c>
      <c r="AO24" s="105">
        <f t="shared" si="15"/>
        <v>0.00383959025380523</v>
      </c>
      <c r="AP24" s="106">
        <f t="shared" si="16"/>
        <v>0.0756</v>
      </c>
      <c r="AQ24" s="107">
        <f t="shared" si="29"/>
        <v>0.0132</v>
      </c>
      <c r="AR24" s="105">
        <f t="shared" si="30"/>
        <v>0.236742830818607</v>
      </c>
      <c r="AS24" s="106">
        <f t="shared" si="31"/>
        <v>2.26666666666667</v>
      </c>
      <c r="AT24" s="107">
        <f t="shared" si="32"/>
        <v>90.5431839634538</v>
      </c>
    </row>
    <row r="25" spans="17:46">
      <c r="Q25">
        <v>18</v>
      </c>
      <c r="R25" s="105">
        <f t="shared" si="0"/>
        <v>10</v>
      </c>
      <c r="S25" s="106">
        <f t="shared" si="1"/>
        <v>0.24</v>
      </c>
      <c r="T25" s="106">
        <f t="shared" si="2"/>
        <v>4</v>
      </c>
      <c r="U25" s="107">
        <f t="shared" si="3"/>
        <v>0.6</v>
      </c>
      <c r="V25" s="105">
        <f t="shared" si="4"/>
        <v>2</v>
      </c>
      <c r="W25" s="106">
        <f t="shared" si="5"/>
        <v>0.714285714285714</v>
      </c>
      <c r="X25" s="107">
        <f t="shared" si="6"/>
        <v>0.285714285714286</v>
      </c>
      <c r="Y25" s="105">
        <f t="shared" si="18"/>
        <v>0.868432479374729</v>
      </c>
      <c r="Z25" s="106">
        <f t="shared" si="33"/>
        <v>1.70843247937473</v>
      </c>
      <c r="AA25" s="106">
        <f t="shared" si="19"/>
        <v>0.650267571288475</v>
      </c>
      <c r="AB25" s="106">
        <v>0</v>
      </c>
      <c r="AC25" s="106">
        <f t="shared" si="20"/>
        <v>0.00422847914269412</v>
      </c>
      <c r="AD25" s="107">
        <f t="shared" si="21"/>
        <v>0.00422847914269412</v>
      </c>
      <c r="AE25" s="105">
        <f t="shared" si="22"/>
        <v>0.102857142857143</v>
      </c>
      <c r="AF25" s="106">
        <f t="shared" si="23"/>
        <v>0.650267571288475</v>
      </c>
      <c r="AG25" s="106">
        <f t="shared" si="10"/>
        <v>0.00359420727129</v>
      </c>
      <c r="AH25" s="106">
        <f t="shared" si="11"/>
        <v>0.0711242705460714</v>
      </c>
      <c r="AI25" s="107">
        <f t="shared" si="24"/>
        <v>0.0747184778173614</v>
      </c>
      <c r="AJ25" s="105">
        <f t="shared" si="25"/>
        <v>0.24</v>
      </c>
      <c r="AK25" s="106">
        <f t="shared" si="26"/>
        <v>0.694154149153058</v>
      </c>
      <c r="AL25" s="106">
        <f t="shared" si="27"/>
        <v>0.078</v>
      </c>
      <c r="AM25" s="106">
        <f t="shared" si="14"/>
        <v>0</v>
      </c>
      <c r="AN25" s="107">
        <f t="shared" si="28"/>
        <v>0.078</v>
      </c>
      <c r="AO25" s="105">
        <f t="shared" si="15"/>
        <v>0.00422847914269412</v>
      </c>
      <c r="AP25" s="106">
        <f t="shared" si="16"/>
        <v>0.0756</v>
      </c>
      <c r="AQ25" s="107">
        <f t="shared" si="29"/>
        <v>0.0132</v>
      </c>
      <c r="AR25" s="105">
        <f t="shared" si="30"/>
        <v>0.245746956960055</v>
      </c>
      <c r="AS25" s="106">
        <f t="shared" si="31"/>
        <v>2.4</v>
      </c>
      <c r="AT25" s="107">
        <f t="shared" si="32"/>
        <v>90.7116228060443</v>
      </c>
    </row>
    <row r="26" spans="17:46">
      <c r="Q26">
        <v>19</v>
      </c>
      <c r="R26" s="105">
        <f t="shared" si="0"/>
        <v>10</v>
      </c>
      <c r="S26" s="106">
        <f t="shared" si="1"/>
        <v>0.253333333333333</v>
      </c>
      <c r="T26" s="106">
        <f t="shared" si="2"/>
        <v>4</v>
      </c>
      <c r="U26" s="107">
        <f t="shared" si="3"/>
        <v>0.633333333333333</v>
      </c>
      <c r="V26" s="105">
        <f t="shared" si="4"/>
        <v>2</v>
      </c>
      <c r="W26" s="106">
        <f t="shared" si="5"/>
        <v>0.714285714285714</v>
      </c>
      <c r="X26" s="107">
        <f t="shared" si="6"/>
        <v>0.285714285714286</v>
      </c>
      <c r="Y26" s="105">
        <f t="shared" si="18"/>
        <v>0.868432479374729</v>
      </c>
      <c r="Z26" s="106">
        <f t="shared" si="33"/>
        <v>1.7550991460414</v>
      </c>
      <c r="AA26" s="106">
        <f t="shared" si="19"/>
        <v>0.68114537756673</v>
      </c>
      <c r="AB26" s="106">
        <v>0</v>
      </c>
      <c r="AC26" s="106">
        <f t="shared" si="20"/>
        <v>0.00463959025380523</v>
      </c>
      <c r="AD26" s="107">
        <f t="shared" si="21"/>
        <v>0.00463959025380523</v>
      </c>
      <c r="AE26" s="105">
        <f t="shared" si="22"/>
        <v>0.114603174603175</v>
      </c>
      <c r="AF26" s="106">
        <f t="shared" si="23"/>
        <v>0.68114537756673</v>
      </c>
      <c r="AG26" s="106">
        <f t="shared" si="10"/>
        <v>0.00394365171573444</v>
      </c>
      <c r="AH26" s="106">
        <f t="shared" si="11"/>
        <v>0.075075618909742</v>
      </c>
      <c r="AI26" s="107">
        <f t="shared" si="24"/>
        <v>0.0790192706254765</v>
      </c>
      <c r="AJ26" s="105">
        <f t="shared" si="25"/>
        <v>0.253333333333333</v>
      </c>
      <c r="AK26" s="106">
        <f t="shared" si="26"/>
        <v>0.718645465256425</v>
      </c>
      <c r="AL26" s="106">
        <f t="shared" si="27"/>
        <v>0.0823333333333333</v>
      </c>
      <c r="AM26" s="106">
        <f t="shared" si="14"/>
        <v>0</v>
      </c>
      <c r="AN26" s="107">
        <f t="shared" si="28"/>
        <v>0.0823333333333333</v>
      </c>
      <c r="AO26" s="105">
        <f t="shared" si="15"/>
        <v>0.00463959025380523</v>
      </c>
      <c r="AP26" s="106">
        <f t="shared" si="16"/>
        <v>0.0756</v>
      </c>
      <c r="AQ26" s="107">
        <f t="shared" si="29"/>
        <v>0.0132</v>
      </c>
      <c r="AR26" s="105">
        <f t="shared" si="30"/>
        <v>0.254792194212615</v>
      </c>
      <c r="AS26" s="106">
        <f t="shared" si="31"/>
        <v>2.53333333333333</v>
      </c>
      <c r="AT26" s="107">
        <f t="shared" si="32"/>
        <v>90.8615235686007</v>
      </c>
    </row>
    <row r="27" spans="17:46">
      <c r="Q27">
        <v>20</v>
      </c>
      <c r="R27" s="105">
        <f t="shared" si="0"/>
        <v>10</v>
      </c>
      <c r="S27" s="106">
        <f t="shared" si="1"/>
        <v>0.266666666666667</v>
      </c>
      <c r="T27" s="106">
        <f t="shared" si="2"/>
        <v>4</v>
      </c>
      <c r="U27" s="107">
        <f t="shared" si="3"/>
        <v>0.666666666666667</v>
      </c>
      <c r="V27" s="105">
        <f t="shared" si="4"/>
        <v>2</v>
      </c>
      <c r="W27" s="106">
        <f t="shared" si="5"/>
        <v>0.714285714285714</v>
      </c>
      <c r="X27" s="107">
        <f t="shared" si="6"/>
        <v>0.285714285714286</v>
      </c>
      <c r="Y27" s="105">
        <f t="shared" si="18"/>
        <v>0.868432479374729</v>
      </c>
      <c r="Z27" s="106">
        <f t="shared" si="33"/>
        <v>1.80176581270806</v>
      </c>
      <c r="AA27" s="106">
        <f t="shared" si="19"/>
        <v>0.712244591916187</v>
      </c>
      <c r="AB27" s="106">
        <v>0</v>
      </c>
      <c r="AC27" s="106">
        <f t="shared" si="20"/>
        <v>0.00507292358713856</v>
      </c>
      <c r="AD27" s="107">
        <f t="shared" si="21"/>
        <v>0.00507292358713856</v>
      </c>
      <c r="AE27" s="105">
        <f t="shared" si="22"/>
        <v>0.126984126984127</v>
      </c>
      <c r="AF27" s="106">
        <f t="shared" si="23"/>
        <v>0.712244591916187</v>
      </c>
      <c r="AG27" s="106">
        <f t="shared" si="10"/>
        <v>0.00431198504906778</v>
      </c>
      <c r="AH27" s="106">
        <f t="shared" si="11"/>
        <v>0.0790269672734126</v>
      </c>
      <c r="AI27" s="107">
        <f t="shared" si="24"/>
        <v>0.0833389523224804</v>
      </c>
      <c r="AJ27" s="105">
        <f t="shared" si="25"/>
        <v>0.266666666666667</v>
      </c>
      <c r="AK27" s="106">
        <f t="shared" si="26"/>
        <v>0.74316692009621</v>
      </c>
      <c r="AL27" s="106">
        <f t="shared" si="27"/>
        <v>0.0866666666666667</v>
      </c>
      <c r="AM27" s="106">
        <f t="shared" si="14"/>
        <v>0</v>
      </c>
      <c r="AN27" s="107">
        <f t="shared" si="28"/>
        <v>0.0866666666666667</v>
      </c>
      <c r="AO27" s="105">
        <f t="shared" si="15"/>
        <v>0.00507292358713856</v>
      </c>
      <c r="AP27" s="106">
        <f t="shared" si="16"/>
        <v>0.0756</v>
      </c>
      <c r="AQ27" s="107">
        <f t="shared" si="29"/>
        <v>0.0132</v>
      </c>
      <c r="AR27" s="105">
        <f t="shared" si="30"/>
        <v>0.263878542576286</v>
      </c>
      <c r="AS27" s="106">
        <f t="shared" si="31"/>
        <v>2.66666666666667</v>
      </c>
      <c r="AT27" s="107">
        <f t="shared" si="32"/>
        <v>90.995581922981</v>
      </c>
    </row>
    <row r="28" spans="17:46">
      <c r="Q28">
        <v>21</v>
      </c>
      <c r="R28" s="105">
        <f t="shared" si="0"/>
        <v>10</v>
      </c>
      <c r="S28" s="106">
        <f t="shared" si="1"/>
        <v>0.28</v>
      </c>
      <c r="T28" s="106">
        <f t="shared" si="2"/>
        <v>4</v>
      </c>
      <c r="U28" s="107">
        <f t="shared" si="3"/>
        <v>0.7</v>
      </c>
      <c r="V28" s="105">
        <f t="shared" si="4"/>
        <v>2</v>
      </c>
      <c r="W28" s="106">
        <f t="shared" si="5"/>
        <v>0.714285714285714</v>
      </c>
      <c r="X28" s="107">
        <f t="shared" si="6"/>
        <v>0.285714285714286</v>
      </c>
      <c r="Y28" s="105">
        <f t="shared" si="18"/>
        <v>0.868432479374729</v>
      </c>
      <c r="Z28" s="106">
        <f t="shared" si="33"/>
        <v>1.84843247937473</v>
      </c>
      <c r="AA28" s="106">
        <f t="shared" si="19"/>
        <v>0.743537432998105</v>
      </c>
      <c r="AB28" s="106">
        <v>0</v>
      </c>
      <c r="AC28" s="106">
        <f t="shared" si="20"/>
        <v>0.00552847914269412</v>
      </c>
      <c r="AD28" s="107">
        <f t="shared" si="21"/>
        <v>0.00552847914269412</v>
      </c>
      <c r="AE28" s="105">
        <f t="shared" si="22"/>
        <v>0.14</v>
      </c>
      <c r="AF28" s="106">
        <f t="shared" si="23"/>
        <v>0.743537432998105</v>
      </c>
      <c r="AG28" s="106">
        <f t="shared" si="10"/>
        <v>0.00469920727129</v>
      </c>
      <c r="AH28" s="106">
        <f t="shared" si="11"/>
        <v>0.0829783156370833</v>
      </c>
      <c r="AI28" s="107">
        <f t="shared" si="24"/>
        <v>0.0876775229083733</v>
      </c>
      <c r="AJ28" s="105">
        <f t="shared" si="25"/>
        <v>0.28</v>
      </c>
      <c r="AK28" s="106">
        <f t="shared" si="26"/>
        <v>0.767715625711366</v>
      </c>
      <c r="AL28" s="106">
        <f t="shared" si="27"/>
        <v>0.091</v>
      </c>
      <c r="AM28" s="106">
        <f t="shared" si="14"/>
        <v>0</v>
      </c>
      <c r="AN28" s="107">
        <f t="shared" si="28"/>
        <v>0.091</v>
      </c>
      <c r="AO28" s="105">
        <f t="shared" si="15"/>
        <v>0.00552847914269412</v>
      </c>
      <c r="AP28" s="106">
        <f t="shared" si="16"/>
        <v>0.0756</v>
      </c>
      <c r="AQ28" s="107">
        <f t="shared" si="29"/>
        <v>0.0132</v>
      </c>
      <c r="AR28" s="105">
        <f t="shared" si="30"/>
        <v>0.273006002051067</v>
      </c>
      <c r="AS28" s="106">
        <f t="shared" si="31"/>
        <v>2.8</v>
      </c>
      <c r="AT28" s="107">
        <f t="shared" si="32"/>
        <v>91.1159951568968</v>
      </c>
    </row>
    <row r="29" spans="17:46">
      <c r="Q29">
        <v>22</v>
      </c>
      <c r="R29" s="105">
        <f t="shared" si="0"/>
        <v>10</v>
      </c>
      <c r="S29" s="106">
        <f t="shared" si="1"/>
        <v>0.293333333333333</v>
      </c>
      <c r="T29" s="106">
        <f t="shared" si="2"/>
        <v>4</v>
      </c>
      <c r="U29" s="107">
        <f t="shared" si="3"/>
        <v>0.733333333333333</v>
      </c>
      <c r="V29" s="105">
        <f t="shared" si="4"/>
        <v>2</v>
      </c>
      <c r="W29" s="106">
        <f t="shared" si="5"/>
        <v>0.714285714285714</v>
      </c>
      <c r="X29" s="107">
        <f t="shared" si="6"/>
        <v>0.285714285714286</v>
      </c>
      <c r="Y29" s="105">
        <f t="shared" si="18"/>
        <v>0.868432479374729</v>
      </c>
      <c r="Z29" s="106">
        <f t="shared" si="33"/>
        <v>1.8950991460414</v>
      </c>
      <c r="AA29" s="106">
        <f t="shared" si="19"/>
        <v>0.775000446481929</v>
      </c>
      <c r="AB29" s="106">
        <v>0</v>
      </c>
      <c r="AC29" s="106">
        <f t="shared" si="20"/>
        <v>0.0060062569204719</v>
      </c>
      <c r="AD29" s="107">
        <f t="shared" si="21"/>
        <v>0.0060062569204719</v>
      </c>
      <c r="AE29" s="105">
        <f t="shared" si="22"/>
        <v>0.153650793650794</v>
      </c>
      <c r="AF29" s="106">
        <f t="shared" si="23"/>
        <v>0.775000446481929</v>
      </c>
      <c r="AG29" s="106">
        <f t="shared" si="10"/>
        <v>0.00510531838240111</v>
      </c>
      <c r="AH29" s="106">
        <f t="shared" si="11"/>
        <v>0.0869296640007539</v>
      </c>
      <c r="AI29" s="107">
        <f t="shared" si="24"/>
        <v>0.092034982383155</v>
      </c>
      <c r="AJ29" s="105">
        <f t="shared" si="25"/>
        <v>0.293333333333333</v>
      </c>
      <c r="AK29" s="106">
        <f t="shared" si="26"/>
        <v>0.792289049048355</v>
      </c>
      <c r="AL29" s="106">
        <f t="shared" si="27"/>
        <v>0.0953333333333333</v>
      </c>
      <c r="AM29" s="106">
        <f t="shared" si="14"/>
        <v>0</v>
      </c>
      <c r="AN29" s="107">
        <f t="shared" si="28"/>
        <v>0.0953333333333333</v>
      </c>
      <c r="AO29" s="105">
        <f t="shared" si="15"/>
        <v>0.0060062569204719</v>
      </c>
      <c r="AP29" s="106">
        <f t="shared" si="16"/>
        <v>0.0756</v>
      </c>
      <c r="AQ29" s="107">
        <f t="shared" si="29"/>
        <v>0.0132</v>
      </c>
      <c r="AR29" s="105">
        <f t="shared" si="30"/>
        <v>0.28217457263696</v>
      </c>
      <c r="AS29" s="106">
        <f t="shared" si="31"/>
        <v>2.93333333333333</v>
      </c>
      <c r="AT29" s="107">
        <f t="shared" si="32"/>
        <v>91.2245722639014</v>
      </c>
    </row>
    <row r="30" spans="17:46">
      <c r="Q30">
        <v>23</v>
      </c>
      <c r="R30" s="105">
        <f t="shared" si="0"/>
        <v>10</v>
      </c>
      <c r="S30" s="106">
        <f t="shared" si="1"/>
        <v>0.306666666666667</v>
      </c>
      <c r="T30" s="106">
        <f t="shared" si="2"/>
        <v>4</v>
      </c>
      <c r="U30" s="107">
        <f t="shared" si="3"/>
        <v>0.766666666666667</v>
      </c>
      <c r="V30" s="105">
        <f t="shared" si="4"/>
        <v>2</v>
      </c>
      <c r="W30" s="106">
        <f t="shared" si="5"/>
        <v>0.714285714285714</v>
      </c>
      <c r="X30" s="107">
        <f t="shared" si="6"/>
        <v>0.285714285714286</v>
      </c>
      <c r="Y30" s="105">
        <f t="shared" si="18"/>
        <v>0.868432479374729</v>
      </c>
      <c r="Z30" s="106">
        <f t="shared" si="33"/>
        <v>1.94176581270806</v>
      </c>
      <c r="AA30" s="106">
        <f t="shared" si="19"/>
        <v>0.806613719228225</v>
      </c>
      <c r="AB30" s="106">
        <v>0</v>
      </c>
      <c r="AC30" s="106">
        <f t="shared" si="20"/>
        <v>0.00650625692047189</v>
      </c>
      <c r="AD30" s="107">
        <f t="shared" si="21"/>
        <v>0.00650625692047189</v>
      </c>
      <c r="AE30" s="105">
        <f t="shared" si="22"/>
        <v>0.167936507936508</v>
      </c>
      <c r="AF30" s="106">
        <f t="shared" si="23"/>
        <v>0.806613719228225</v>
      </c>
      <c r="AG30" s="106">
        <f t="shared" si="10"/>
        <v>0.00553031838240111</v>
      </c>
      <c r="AH30" s="106">
        <f t="shared" si="11"/>
        <v>0.0908810123644246</v>
      </c>
      <c r="AI30" s="107">
        <f t="shared" si="24"/>
        <v>0.0964113307468257</v>
      </c>
      <c r="AJ30" s="105">
        <f t="shared" si="25"/>
        <v>0.306666666666667</v>
      </c>
      <c r="AK30" s="106">
        <f t="shared" si="26"/>
        <v>0.816884959444684</v>
      </c>
      <c r="AL30" s="106">
        <f t="shared" si="27"/>
        <v>0.0996666666666667</v>
      </c>
      <c r="AM30" s="106">
        <f t="shared" si="14"/>
        <v>0</v>
      </c>
      <c r="AN30" s="107">
        <f t="shared" si="28"/>
        <v>0.0996666666666667</v>
      </c>
      <c r="AO30" s="105">
        <f t="shared" si="15"/>
        <v>0.00650625692047189</v>
      </c>
      <c r="AP30" s="106">
        <f t="shared" si="16"/>
        <v>0.0756</v>
      </c>
      <c r="AQ30" s="107">
        <f t="shared" si="29"/>
        <v>0.0132</v>
      </c>
      <c r="AR30" s="105">
        <f t="shared" si="30"/>
        <v>0.291384254333964</v>
      </c>
      <c r="AS30" s="106">
        <f t="shared" si="31"/>
        <v>3.06666666666667</v>
      </c>
      <c r="AT30" s="107">
        <f t="shared" si="32"/>
        <v>91.3228160862094</v>
      </c>
    </row>
    <row r="31" spans="17:46">
      <c r="Q31">
        <v>24</v>
      </c>
      <c r="R31" s="105">
        <f t="shared" si="0"/>
        <v>10</v>
      </c>
      <c r="S31" s="106">
        <f t="shared" si="1"/>
        <v>0.32</v>
      </c>
      <c r="T31" s="106">
        <f t="shared" si="2"/>
        <v>4</v>
      </c>
      <c r="U31" s="107">
        <f t="shared" si="3"/>
        <v>0.8</v>
      </c>
      <c r="V31" s="105">
        <f t="shared" si="4"/>
        <v>2</v>
      </c>
      <c r="W31" s="106">
        <f t="shared" si="5"/>
        <v>0.714285714285714</v>
      </c>
      <c r="X31" s="107">
        <f t="shared" si="6"/>
        <v>0.285714285714286</v>
      </c>
      <c r="Y31" s="105">
        <f t="shared" si="18"/>
        <v>0.868432479374729</v>
      </c>
      <c r="Z31" s="106">
        <f t="shared" si="33"/>
        <v>1.98843247937473</v>
      </c>
      <c r="AA31" s="106">
        <f t="shared" si="19"/>
        <v>0.838360253273861</v>
      </c>
      <c r="AB31" s="106">
        <v>0</v>
      </c>
      <c r="AC31" s="106">
        <f t="shared" si="20"/>
        <v>0.00702847914269412</v>
      </c>
      <c r="AD31" s="107">
        <f t="shared" si="21"/>
        <v>0.00702847914269412</v>
      </c>
      <c r="AE31" s="105">
        <f t="shared" si="22"/>
        <v>0.182857142857143</v>
      </c>
      <c r="AF31" s="106">
        <f t="shared" si="23"/>
        <v>0.838360253273861</v>
      </c>
      <c r="AG31" s="106">
        <f t="shared" si="10"/>
        <v>0.00597420727129</v>
      </c>
      <c r="AH31" s="106">
        <f t="shared" si="11"/>
        <v>0.0948323607280952</v>
      </c>
      <c r="AI31" s="107">
        <f t="shared" si="24"/>
        <v>0.100806567999385</v>
      </c>
      <c r="AJ31" s="105">
        <f t="shared" si="25"/>
        <v>0.32</v>
      </c>
      <c r="AK31" s="106">
        <f t="shared" si="26"/>
        <v>0.841501385106634</v>
      </c>
      <c r="AL31" s="106">
        <f t="shared" si="27"/>
        <v>0.104</v>
      </c>
      <c r="AM31" s="106">
        <f t="shared" si="14"/>
        <v>0</v>
      </c>
      <c r="AN31" s="107">
        <f t="shared" si="28"/>
        <v>0.104</v>
      </c>
      <c r="AO31" s="105">
        <f t="shared" si="15"/>
        <v>0.00702847914269412</v>
      </c>
      <c r="AP31" s="106">
        <f t="shared" si="16"/>
        <v>0.0756</v>
      </c>
      <c r="AQ31" s="107">
        <f t="shared" si="29"/>
        <v>0.0132</v>
      </c>
      <c r="AR31" s="105">
        <f t="shared" si="30"/>
        <v>0.300635047142079</v>
      </c>
      <c r="AS31" s="106">
        <f t="shared" si="31"/>
        <v>3.2</v>
      </c>
      <c r="AT31" s="107">
        <f t="shared" si="32"/>
        <v>91.4119854513964</v>
      </c>
    </row>
    <row r="32" spans="17:46">
      <c r="Q32">
        <v>25</v>
      </c>
      <c r="R32" s="105">
        <f t="shared" si="0"/>
        <v>10</v>
      </c>
      <c r="S32" s="106">
        <f t="shared" si="1"/>
        <v>0.333333333333333</v>
      </c>
      <c r="T32" s="106">
        <f t="shared" si="2"/>
        <v>4</v>
      </c>
      <c r="U32" s="107">
        <f t="shared" si="3"/>
        <v>0.833333333333333</v>
      </c>
      <c r="V32" s="105">
        <f t="shared" si="4"/>
        <v>2</v>
      </c>
      <c r="W32" s="106">
        <f t="shared" si="5"/>
        <v>0.714285714285714</v>
      </c>
      <c r="X32" s="107">
        <f t="shared" si="6"/>
        <v>0.285714285714286</v>
      </c>
      <c r="Y32" s="105">
        <f t="shared" si="18"/>
        <v>0.868432479374729</v>
      </c>
      <c r="Z32" s="106">
        <f t="shared" si="33"/>
        <v>2.0350991460414</v>
      </c>
      <c r="AA32" s="106">
        <f t="shared" si="19"/>
        <v>0.870225464298682</v>
      </c>
      <c r="AB32" s="106">
        <v>0</v>
      </c>
      <c r="AC32" s="106">
        <f t="shared" si="20"/>
        <v>0.00757292358713856</v>
      </c>
      <c r="AD32" s="107">
        <f t="shared" si="21"/>
        <v>0.00757292358713856</v>
      </c>
      <c r="AE32" s="105">
        <f t="shared" si="22"/>
        <v>0.198412698412698</v>
      </c>
      <c r="AF32" s="106">
        <f t="shared" si="23"/>
        <v>0.870225464298682</v>
      </c>
      <c r="AG32" s="106">
        <f t="shared" si="10"/>
        <v>0.00643698504906778</v>
      </c>
      <c r="AH32" s="106">
        <f t="shared" si="11"/>
        <v>0.0987837090917658</v>
      </c>
      <c r="AI32" s="107">
        <f t="shared" si="24"/>
        <v>0.105220694140834</v>
      </c>
      <c r="AJ32" s="105">
        <f t="shared" si="25"/>
        <v>0.333333333333333</v>
      </c>
      <c r="AK32" s="106">
        <f t="shared" si="26"/>
        <v>0.866136576845863</v>
      </c>
      <c r="AL32" s="106">
        <f t="shared" si="27"/>
        <v>0.108333333333333</v>
      </c>
      <c r="AM32" s="106">
        <f t="shared" si="14"/>
        <v>0</v>
      </c>
      <c r="AN32" s="107">
        <f t="shared" si="28"/>
        <v>0.108333333333333</v>
      </c>
      <c r="AO32" s="105">
        <f t="shared" si="15"/>
        <v>0.00757292358713856</v>
      </c>
      <c r="AP32" s="106">
        <f t="shared" si="16"/>
        <v>0.0756</v>
      </c>
      <c r="AQ32" s="107">
        <f t="shared" si="29"/>
        <v>0.0132</v>
      </c>
      <c r="AR32" s="105">
        <f t="shared" si="30"/>
        <v>0.309926951061306</v>
      </c>
      <c r="AS32" s="106">
        <f t="shared" si="31"/>
        <v>3.33333333333333</v>
      </c>
      <c r="AT32" s="107">
        <f t="shared" si="32"/>
        <v>91.4931427658674</v>
      </c>
    </row>
    <row r="33" spans="17:46">
      <c r="Q33">
        <v>26</v>
      </c>
      <c r="R33" s="105">
        <f t="shared" si="0"/>
        <v>10</v>
      </c>
      <c r="S33" s="106">
        <f t="shared" si="1"/>
        <v>0.346666666666667</v>
      </c>
      <c r="T33" s="106">
        <f t="shared" si="2"/>
        <v>4</v>
      </c>
      <c r="U33" s="107">
        <f t="shared" si="3"/>
        <v>0.866666666666667</v>
      </c>
      <c r="V33" s="105">
        <f t="shared" si="4"/>
        <v>2</v>
      </c>
      <c r="W33" s="106">
        <f t="shared" si="5"/>
        <v>0.714285714285714</v>
      </c>
      <c r="X33" s="107">
        <f t="shared" si="6"/>
        <v>0.285714285714286</v>
      </c>
      <c r="Y33" s="105">
        <f t="shared" si="18"/>
        <v>0.868432479374729</v>
      </c>
      <c r="Z33" s="106">
        <f t="shared" si="33"/>
        <v>2.08176581270806</v>
      </c>
      <c r="AA33" s="106">
        <f t="shared" si="19"/>
        <v>0.902196777527232</v>
      </c>
      <c r="AB33" s="106">
        <v>0</v>
      </c>
      <c r="AC33" s="106">
        <f t="shared" si="20"/>
        <v>0.00813959025380523</v>
      </c>
      <c r="AD33" s="107">
        <f t="shared" si="21"/>
        <v>0.00813959025380523</v>
      </c>
      <c r="AE33" s="105">
        <f t="shared" si="22"/>
        <v>0.214603174603175</v>
      </c>
      <c r="AF33" s="106">
        <f t="shared" si="23"/>
        <v>0.902196777527232</v>
      </c>
      <c r="AG33" s="106">
        <f t="shared" si="10"/>
        <v>0.00691865171573444</v>
      </c>
      <c r="AH33" s="106">
        <f t="shared" si="11"/>
        <v>0.102735057455436</v>
      </c>
      <c r="AI33" s="107">
        <f t="shared" si="24"/>
        <v>0.109653709171171</v>
      </c>
      <c r="AJ33" s="105">
        <f t="shared" si="25"/>
        <v>0.346666666666667</v>
      </c>
      <c r="AK33" s="106">
        <f t="shared" si="26"/>
        <v>0.890788977709423</v>
      </c>
      <c r="AL33" s="106">
        <f t="shared" si="27"/>
        <v>0.112666666666667</v>
      </c>
      <c r="AM33" s="106">
        <f t="shared" si="14"/>
        <v>0</v>
      </c>
      <c r="AN33" s="107">
        <f t="shared" si="28"/>
        <v>0.112666666666667</v>
      </c>
      <c r="AO33" s="105">
        <f t="shared" si="15"/>
        <v>0.00813959025380523</v>
      </c>
      <c r="AP33" s="106">
        <f t="shared" si="16"/>
        <v>0.0756</v>
      </c>
      <c r="AQ33" s="107">
        <f t="shared" si="29"/>
        <v>0.0132</v>
      </c>
      <c r="AR33" s="105">
        <f t="shared" si="30"/>
        <v>0.319259966091643</v>
      </c>
      <c r="AS33" s="106">
        <f t="shared" si="31"/>
        <v>3.46666666666667</v>
      </c>
      <c r="AT33" s="107">
        <f t="shared" si="32"/>
        <v>91.5671908871874</v>
      </c>
    </row>
    <row r="34" spans="17:46">
      <c r="Q34">
        <v>27</v>
      </c>
      <c r="R34" s="105">
        <f t="shared" si="0"/>
        <v>10</v>
      </c>
      <c r="S34" s="106">
        <f t="shared" si="1"/>
        <v>0.36</v>
      </c>
      <c r="T34" s="106">
        <f t="shared" si="2"/>
        <v>4</v>
      </c>
      <c r="U34" s="107">
        <f t="shared" si="3"/>
        <v>0.9</v>
      </c>
      <c r="V34" s="105">
        <f t="shared" si="4"/>
        <v>2</v>
      </c>
      <c r="W34" s="106">
        <f t="shared" si="5"/>
        <v>0.714285714285714</v>
      </c>
      <c r="X34" s="107">
        <f t="shared" si="6"/>
        <v>0.285714285714286</v>
      </c>
      <c r="Y34" s="105">
        <f t="shared" si="18"/>
        <v>0.868432479374729</v>
      </c>
      <c r="Z34" s="106">
        <f t="shared" si="33"/>
        <v>2.12843247937473</v>
      </c>
      <c r="AA34" s="106">
        <f t="shared" si="19"/>
        <v>0.934263300290347</v>
      </c>
      <c r="AB34" s="106">
        <v>0</v>
      </c>
      <c r="AC34" s="106">
        <f t="shared" si="20"/>
        <v>0.00872847914269412</v>
      </c>
      <c r="AD34" s="107">
        <f t="shared" si="21"/>
        <v>0.00872847914269412</v>
      </c>
      <c r="AE34" s="105">
        <f t="shared" si="22"/>
        <v>0.231428571428571</v>
      </c>
      <c r="AF34" s="106">
        <f t="shared" si="23"/>
        <v>0.934263300290347</v>
      </c>
      <c r="AG34" s="106">
        <f t="shared" si="10"/>
        <v>0.00741920727129</v>
      </c>
      <c r="AH34" s="106">
        <f t="shared" si="11"/>
        <v>0.106686405819107</v>
      </c>
      <c r="AI34" s="107">
        <f t="shared" si="24"/>
        <v>0.114105613090397</v>
      </c>
      <c r="AJ34" s="105">
        <f t="shared" si="25"/>
        <v>0.36</v>
      </c>
      <c r="AK34" s="106">
        <f t="shared" si="26"/>
        <v>0.915457197421798</v>
      </c>
      <c r="AL34" s="106">
        <f t="shared" si="27"/>
        <v>0.117</v>
      </c>
      <c r="AM34" s="106">
        <f t="shared" si="14"/>
        <v>0</v>
      </c>
      <c r="AN34" s="107">
        <f t="shared" si="28"/>
        <v>0.117</v>
      </c>
      <c r="AO34" s="105">
        <f t="shared" si="15"/>
        <v>0.00872847914269412</v>
      </c>
      <c r="AP34" s="106">
        <f t="shared" si="16"/>
        <v>0.0756</v>
      </c>
      <c r="AQ34" s="107">
        <f t="shared" si="29"/>
        <v>0.0132</v>
      </c>
      <c r="AR34" s="105">
        <f t="shared" si="30"/>
        <v>0.328634092233091</v>
      </c>
      <c r="AS34" s="106">
        <f t="shared" si="31"/>
        <v>3.6</v>
      </c>
      <c r="AT34" s="107">
        <f t="shared" si="32"/>
        <v>91.6349019909286</v>
      </c>
    </row>
    <row r="35" spans="17:46">
      <c r="Q35">
        <v>28</v>
      </c>
      <c r="R35" s="105">
        <f t="shared" si="0"/>
        <v>10</v>
      </c>
      <c r="S35" s="106">
        <f t="shared" si="1"/>
        <v>0.373333333333333</v>
      </c>
      <c r="T35" s="106">
        <f t="shared" si="2"/>
        <v>4</v>
      </c>
      <c r="U35" s="107">
        <f t="shared" si="3"/>
        <v>0.933333333333333</v>
      </c>
      <c r="V35" s="105">
        <f t="shared" si="4"/>
        <v>2</v>
      </c>
      <c r="W35" s="106">
        <f t="shared" si="5"/>
        <v>0.714285714285714</v>
      </c>
      <c r="X35" s="107">
        <f t="shared" si="6"/>
        <v>0.285714285714286</v>
      </c>
      <c r="Y35" s="105">
        <f t="shared" si="18"/>
        <v>0.868432479374729</v>
      </c>
      <c r="Z35" s="106">
        <f t="shared" si="33"/>
        <v>2.1750991460414</v>
      </c>
      <c r="AA35" s="106">
        <f t="shared" si="19"/>
        <v>0.966415555224833</v>
      </c>
      <c r="AB35" s="106">
        <v>0</v>
      </c>
      <c r="AC35" s="106">
        <f t="shared" si="20"/>
        <v>0.00933959025380523</v>
      </c>
      <c r="AD35" s="107">
        <f t="shared" si="21"/>
        <v>0.00933959025380523</v>
      </c>
      <c r="AE35" s="105">
        <f t="shared" si="22"/>
        <v>0.248888888888889</v>
      </c>
      <c r="AF35" s="106">
        <f t="shared" si="23"/>
        <v>0.966415555224833</v>
      </c>
      <c r="AG35" s="106">
        <f t="shared" si="10"/>
        <v>0.00793865171573444</v>
      </c>
      <c r="AH35" s="106">
        <f t="shared" si="11"/>
        <v>0.110637754182778</v>
      </c>
      <c r="AI35" s="107">
        <f t="shared" si="24"/>
        <v>0.118576405898512</v>
      </c>
      <c r="AJ35" s="105">
        <f t="shared" si="25"/>
        <v>0.373333333333333</v>
      </c>
      <c r="AK35" s="106">
        <f t="shared" si="26"/>
        <v>0.94013999077722</v>
      </c>
      <c r="AL35" s="106">
        <f t="shared" si="27"/>
        <v>0.121333333333333</v>
      </c>
      <c r="AM35" s="106">
        <f t="shared" si="14"/>
        <v>0</v>
      </c>
      <c r="AN35" s="107">
        <f t="shared" si="28"/>
        <v>0.121333333333333</v>
      </c>
      <c r="AO35" s="105">
        <f t="shared" si="15"/>
        <v>0.00933959025380523</v>
      </c>
      <c r="AP35" s="106">
        <f t="shared" si="16"/>
        <v>0.0756</v>
      </c>
      <c r="AQ35" s="107">
        <f t="shared" si="29"/>
        <v>0.0132</v>
      </c>
      <c r="AR35" s="105">
        <f t="shared" si="30"/>
        <v>0.338049329485651</v>
      </c>
      <c r="AS35" s="106">
        <f t="shared" si="31"/>
        <v>3.73333333333333</v>
      </c>
      <c r="AT35" s="107">
        <f t="shared" si="32"/>
        <v>91.6969403890032</v>
      </c>
    </row>
    <row r="36" spans="17:46">
      <c r="Q36">
        <v>29</v>
      </c>
      <c r="R36" s="105">
        <f t="shared" si="0"/>
        <v>10</v>
      </c>
      <c r="S36" s="106">
        <f t="shared" si="1"/>
        <v>0.386666666666667</v>
      </c>
      <c r="T36" s="106">
        <f t="shared" si="2"/>
        <v>4</v>
      </c>
      <c r="U36" s="107">
        <f t="shared" si="3"/>
        <v>0.966666666666667</v>
      </c>
      <c r="V36" s="105">
        <f t="shared" si="4"/>
        <v>2</v>
      </c>
      <c r="W36" s="106">
        <f t="shared" si="5"/>
        <v>0.714285714285714</v>
      </c>
      <c r="X36" s="107">
        <f t="shared" si="6"/>
        <v>0.285714285714286</v>
      </c>
      <c r="Y36" s="105">
        <f t="shared" si="18"/>
        <v>0.868432479374729</v>
      </c>
      <c r="Z36" s="106">
        <f t="shared" si="33"/>
        <v>2.22176581270806</v>
      </c>
      <c r="AA36" s="106">
        <f t="shared" si="19"/>
        <v>0.998645261698996</v>
      </c>
      <c r="AB36" s="106">
        <v>0</v>
      </c>
      <c r="AC36" s="106">
        <f t="shared" si="20"/>
        <v>0.00997292358713856</v>
      </c>
      <c r="AD36" s="107">
        <f t="shared" si="21"/>
        <v>0.00997292358713856</v>
      </c>
      <c r="AE36" s="105">
        <f t="shared" si="22"/>
        <v>0.266984126984127</v>
      </c>
      <c r="AF36" s="106">
        <f t="shared" si="23"/>
        <v>0.998645261698996</v>
      </c>
      <c r="AG36" s="106">
        <f t="shared" si="10"/>
        <v>0.00847698504906778</v>
      </c>
      <c r="AH36" s="106">
        <f t="shared" si="11"/>
        <v>0.114589102546448</v>
      </c>
      <c r="AI36" s="107">
        <f t="shared" si="24"/>
        <v>0.123066087595516</v>
      </c>
      <c r="AJ36" s="105">
        <f t="shared" si="25"/>
        <v>0.386666666666667</v>
      </c>
      <c r="AK36" s="106">
        <f t="shared" si="26"/>
        <v>0.964836239291546</v>
      </c>
      <c r="AL36" s="106">
        <f t="shared" si="27"/>
        <v>0.125666666666667</v>
      </c>
      <c r="AM36" s="106">
        <f t="shared" si="14"/>
        <v>0</v>
      </c>
      <c r="AN36" s="107">
        <f t="shared" si="28"/>
        <v>0.125666666666667</v>
      </c>
      <c r="AO36" s="105">
        <f t="shared" si="15"/>
        <v>0.00997292358713856</v>
      </c>
      <c r="AP36" s="106">
        <f t="shared" si="16"/>
        <v>0.0756</v>
      </c>
      <c r="AQ36" s="107">
        <f t="shared" si="29"/>
        <v>0.0132</v>
      </c>
      <c r="AR36" s="105">
        <f t="shared" si="30"/>
        <v>0.347505677849321</v>
      </c>
      <c r="AS36" s="106">
        <f t="shared" si="31"/>
        <v>3.86666666666667</v>
      </c>
      <c r="AT36" s="107">
        <f t="shared" si="32"/>
        <v>91.7538807281686</v>
      </c>
    </row>
    <row r="37" spans="17:46">
      <c r="Q37">
        <v>30</v>
      </c>
      <c r="R37" s="105">
        <f t="shared" si="0"/>
        <v>10</v>
      </c>
      <c r="S37" s="106">
        <f t="shared" si="1"/>
        <v>0.4</v>
      </c>
      <c r="T37" s="106">
        <f t="shared" si="2"/>
        <v>4</v>
      </c>
      <c r="U37" s="107">
        <f t="shared" si="3"/>
        <v>1</v>
      </c>
      <c r="V37" s="105">
        <f t="shared" si="4"/>
        <v>2</v>
      </c>
      <c r="W37" s="106">
        <f t="shared" si="5"/>
        <v>0.714285714285714</v>
      </c>
      <c r="X37" s="107">
        <f t="shared" si="6"/>
        <v>0.285714285714286</v>
      </c>
      <c r="Y37" s="105">
        <f t="shared" si="18"/>
        <v>0.868432479374729</v>
      </c>
      <c r="Z37" s="106">
        <f t="shared" si="33"/>
        <v>2.26843247937473</v>
      </c>
      <c r="AA37" s="106">
        <f t="shared" si="19"/>
        <v>1.03094515580093</v>
      </c>
      <c r="AB37" s="106">
        <v>0</v>
      </c>
      <c r="AC37" s="106">
        <f t="shared" si="20"/>
        <v>0.0106284791426941</v>
      </c>
      <c r="AD37" s="107">
        <f t="shared" si="21"/>
        <v>0.0106284791426941</v>
      </c>
      <c r="AE37" s="105">
        <f t="shared" si="22"/>
        <v>0.285714285714286</v>
      </c>
      <c r="AF37" s="106">
        <f t="shared" si="23"/>
        <v>1.03094515580093</v>
      </c>
      <c r="AG37" s="106">
        <f t="shared" si="10"/>
        <v>0.00903420727129</v>
      </c>
      <c r="AH37" s="106">
        <f t="shared" si="11"/>
        <v>0.118540450910119</v>
      </c>
      <c r="AI37" s="107">
        <f t="shared" si="24"/>
        <v>0.127574658181409</v>
      </c>
      <c r="AJ37" s="105">
        <f t="shared" si="25"/>
        <v>0.4</v>
      </c>
      <c r="AK37" s="106">
        <f t="shared" si="26"/>
        <v>0.989544935556926</v>
      </c>
      <c r="AL37" s="106">
        <f t="shared" si="27"/>
        <v>0.13</v>
      </c>
      <c r="AM37" s="106">
        <f t="shared" si="14"/>
        <v>0</v>
      </c>
      <c r="AN37" s="107">
        <f t="shared" si="28"/>
        <v>0.13</v>
      </c>
      <c r="AO37" s="105">
        <f t="shared" si="15"/>
        <v>0.0106284791426941</v>
      </c>
      <c r="AP37" s="106">
        <f t="shared" si="16"/>
        <v>0.0756</v>
      </c>
      <c r="AQ37" s="107">
        <f t="shared" si="29"/>
        <v>0.0132</v>
      </c>
      <c r="AR37" s="105">
        <f t="shared" si="30"/>
        <v>0.357003137324103</v>
      </c>
      <c r="AS37" s="106">
        <f t="shared" si="31"/>
        <v>4</v>
      </c>
      <c r="AT37" s="107">
        <f t="shared" si="32"/>
        <v>91.8062226243114</v>
      </c>
    </row>
    <row r="38" spans="17:46">
      <c r="Q38">
        <v>31</v>
      </c>
      <c r="R38" s="105">
        <f t="shared" si="0"/>
        <v>10</v>
      </c>
      <c r="S38" s="106">
        <f t="shared" si="1"/>
        <v>0.413333333333333</v>
      </c>
      <c r="T38" s="106">
        <f t="shared" si="2"/>
        <v>4</v>
      </c>
      <c r="U38" s="107">
        <f t="shared" si="3"/>
        <v>1.03333333333333</v>
      </c>
      <c r="V38" s="105">
        <f t="shared" si="4"/>
        <v>2</v>
      </c>
      <c r="W38" s="106">
        <f t="shared" si="5"/>
        <v>0.714285714285714</v>
      </c>
      <c r="X38" s="107">
        <f t="shared" si="6"/>
        <v>0.285714285714286</v>
      </c>
      <c r="Y38" s="105">
        <f t="shared" si="18"/>
        <v>0.868432479374729</v>
      </c>
      <c r="Z38" s="106">
        <f t="shared" si="33"/>
        <v>2.3150991460414</v>
      </c>
      <c r="AA38" s="106">
        <f t="shared" si="19"/>
        <v>1.06330884132842</v>
      </c>
      <c r="AB38" s="106">
        <v>0</v>
      </c>
      <c r="AC38" s="106">
        <f t="shared" si="20"/>
        <v>0.0113062569204719</v>
      </c>
      <c r="AD38" s="107">
        <f t="shared" si="21"/>
        <v>0.0113062569204719</v>
      </c>
      <c r="AE38" s="105">
        <f t="shared" si="22"/>
        <v>0.305079365079365</v>
      </c>
      <c r="AF38" s="106">
        <f t="shared" si="23"/>
        <v>1.06330884132842</v>
      </c>
      <c r="AG38" s="106">
        <f t="shared" si="10"/>
        <v>0.00961031838240111</v>
      </c>
      <c r="AH38" s="106">
        <f t="shared" si="11"/>
        <v>0.12249179927379</v>
      </c>
      <c r="AI38" s="107">
        <f t="shared" si="24"/>
        <v>0.132102117656191</v>
      </c>
      <c r="AJ38" s="105">
        <f t="shared" si="25"/>
        <v>0.413333333333333</v>
      </c>
      <c r="AK38" s="106">
        <f t="shared" si="26"/>
        <v>1.01426516984806</v>
      </c>
      <c r="AL38" s="106">
        <f t="shared" si="27"/>
        <v>0.134333333333333</v>
      </c>
      <c r="AM38" s="106">
        <f t="shared" si="14"/>
        <v>0</v>
      </c>
      <c r="AN38" s="107">
        <f t="shared" si="28"/>
        <v>0.134333333333333</v>
      </c>
      <c r="AO38" s="105">
        <f t="shared" si="15"/>
        <v>0.0113062569204719</v>
      </c>
      <c r="AP38" s="106">
        <f t="shared" si="16"/>
        <v>0.0756</v>
      </c>
      <c r="AQ38" s="107">
        <f t="shared" si="29"/>
        <v>0.0132</v>
      </c>
      <c r="AR38" s="105">
        <f t="shared" si="30"/>
        <v>0.366541707909996</v>
      </c>
      <c r="AS38" s="106">
        <f t="shared" si="31"/>
        <v>4.13333333333333</v>
      </c>
      <c r="AT38" s="107">
        <f t="shared" si="32"/>
        <v>91.8544025211705</v>
      </c>
    </row>
    <row r="39" spans="17:46">
      <c r="Q39">
        <v>32</v>
      </c>
      <c r="R39" s="105">
        <f t="shared" si="0"/>
        <v>10</v>
      </c>
      <c r="S39" s="106">
        <f t="shared" ref="S39:S70" si="34">Q39*$O$12</f>
        <v>0.426666666666667</v>
      </c>
      <c r="T39" s="106">
        <f t="shared" si="2"/>
        <v>4</v>
      </c>
      <c r="U39" s="107">
        <f t="shared" ref="U39:U70" si="35">(R39*S39)/(T39*EFF_est)</f>
        <v>1.06666666666667</v>
      </c>
      <c r="V39" s="105">
        <f t="shared" ref="V39:V70" si="36">IF(S39&lt;((T39^2)*R39)/(2*Fsw*Lm*((T39+R39)^2)),1,2)</f>
        <v>2</v>
      </c>
      <c r="W39" s="106">
        <f t="shared" ref="W39:W70" si="37">CHOOSE(V39,SQRT(2*Lm*R39*S39*Fsw)/T39,R39/(T39+R39))</f>
        <v>0.714285714285714</v>
      </c>
      <c r="X39" s="107">
        <f t="shared" ref="X39:X70" si="38">CHOOSE(V39,(Lm*Z39*Fsw)/(R39),1-W39)</f>
        <v>0.285714285714286</v>
      </c>
      <c r="Y39" s="105">
        <f t="shared" si="18"/>
        <v>0.868432479374729</v>
      </c>
      <c r="Z39" s="106">
        <f t="shared" si="33"/>
        <v>2.36176581270806</v>
      </c>
      <c r="AA39" s="106">
        <f t="shared" si="19"/>
        <v>1.09573066583316</v>
      </c>
      <c r="AB39" s="106">
        <v>0</v>
      </c>
      <c r="AC39" s="106">
        <f t="shared" si="20"/>
        <v>0.0120062569204719</v>
      </c>
      <c r="AD39" s="107">
        <f t="shared" si="21"/>
        <v>0.0120062569204719</v>
      </c>
      <c r="AE39" s="105">
        <f t="shared" si="22"/>
        <v>0.325079365079365</v>
      </c>
      <c r="AF39" s="106">
        <f t="shared" si="23"/>
        <v>1.09573066583316</v>
      </c>
      <c r="AG39" s="106">
        <f t="shared" ref="AG39:AG70" si="39">(AF39^2)*RDS_on</f>
        <v>0.0102053183824011</v>
      </c>
      <c r="AH39" s="106">
        <f t="shared" ref="AH39:AH70" si="40">(((R39+T39)*(U39+S39))/2)*Fsw*(tr_sw+tf_sw)</f>
        <v>0.12644314763746</v>
      </c>
      <c r="AI39" s="107">
        <f t="shared" si="24"/>
        <v>0.136648466019861</v>
      </c>
      <c r="AJ39" s="105">
        <f t="shared" si="25"/>
        <v>0.426666666666667</v>
      </c>
      <c r="AK39" s="106">
        <f t="shared" si="26"/>
        <v>1.03899611861253</v>
      </c>
      <c r="AL39" s="106">
        <f t="shared" si="27"/>
        <v>0.138666666666667</v>
      </c>
      <c r="AM39" s="106">
        <f t="shared" ref="AM39:AM70" si="41">(R39+T39+Vd_rect)*Qrr*Fsw</f>
        <v>0</v>
      </c>
      <c r="AN39" s="107">
        <f t="shared" si="28"/>
        <v>0.138666666666667</v>
      </c>
      <c r="AO39" s="105">
        <f t="shared" ref="AO39:AO70" si="42">(AF39^2)*R_cs</f>
        <v>0.0120062569204719</v>
      </c>
      <c r="AP39" s="106">
        <f t="shared" si="16"/>
        <v>0.0756</v>
      </c>
      <c r="AQ39" s="107">
        <f t="shared" si="29"/>
        <v>0.0132</v>
      </c>
      <c r="AR39" s="105">
        <f t="shared" si="30"/>
        <v>0.376121389607</v>
      </c>
      <c r="AS39" s="106">
        <f t="shared" si="31"/>
        <v>4.26666666666667</v>
      </c>
      <c r="AT39" s="107">
        <f t="shared" si="32"/>
        <v>91.8988033688344</v>
      </c>
    </row>
    <row r="40" spans="17:46">
      <c r="Q40">
        <v>33</v>
      </c>
      <c r="R40" s="105">
        <f t="shared" si="0"/>
        <v>10</v>
      </c>
      <c r="S40" s="106">
        <f t="shared" si="34"/>
        <v>0.44</v>
      </c>
      <c r="T40" s="106">
        <f t="shared" si="2"/>
        <v>4</v>
      </c>
      <c r="U40" s="107">
        <f t="shared" si="35"/>
        <v>1.1</v>
      </c>
      <c r="V40" s="105">
        <f t="shared" si="36"/>
        <v>2</v>
      </c>
      <c r="W40" s="106">
        <f t="shared" si="37"/>
        <v>0.714285714285714</v>
      </c>
      <c r="X40" s="107">
        <f t="shared" si="38"/>
        <v>0.285714285714286</v>
      </c>
      <c r="Y40" s="105">
        <f t="shared" si="18"/>
        <v>0.868432479374729</v>
      </c>
      <c r="Z40" s="106">
        <f t="shared" si="33"/>
        <v>2.40843247937473</v>
      </c>
      <c r="AA40" s="106">
        <f t="shared" si="19"/>
        <v>1.12820561701731</v>
      </c>
      <c r="AB40" s="106">
        <v>0</v>
      </c>
      <c r="AC40" s="106">
        <f t="shared" si="20"/>
        <v>0.0127284791426941</v>
      </c>
      <c r="AD40" s="107">
        <f t="shared" si="21"/>
        <v>0.0127284791426941</v>
      </c>
      <c r="AE40" s="105">
        <f t="shared" si="22"/>
        <v>0.345714285714286</v>
      </c>
      <c r="AF40" s="106">
        <f t="shared" si="23"/>
        <v>1.12820561701731</v>
      </c>
      <c r="AG40" s="106">
        <f t="shared" si="39"/>
        <v>0.01081920727129</v>
      </c>
      <c r="AH40" s="106">
        <f t="shared" si="40"/>
        <v>0.130394496001131</v>
      </c>
      <c r="AI40" s="107">
        <f t="shared" si="24"/>
        <v>0.141213703272421</v>
      </c>
      <c r="AJ40" s="105">
        <f t="shared" si="25"/>
        <v>0.44</v>
      </c>
      <c r="AK40" s="106">
        <f t="shared" si="26"/>
        <v>1.06373703454442</v>
      </c>
      <c r="AL40" s="106">
        <f t="shared" si="27"/>
        <v>0.143</v>
      </c>
      <c r="AM40" s="106">
        <f t="shared" si="41"/>
        <v>0</v>
      </c>
      <c r="AN40" s="107">
        <f t="shared" si="28"/>
        <v>0.143</v>
      </c>
      <c r="AO40" s="105">
        <f t="shared" si="42"/>
        <v>0.0127284791426941</v>
      </c>
      <c r="AP40" s="106">
        <f t="shared" si="16"/>
        <v>0.0756</v>
      </c>
      <c r="AQ40" s="107">
        <f t="shared" si="29"/>
        <v>0.0132</v>
      </c>
      <c r="AR40" s="105">
        <f t="shared" si="30"/>
        <v>0.385742182415115</v>
      </c>
      <c r="AS40" s="106">
        <f t="shared" si="31"/>
        <v>4.4</v>
      </c>
      <c r="AT40" s="107">
        <f t="shared" si="32"/>
        <v>91.9397625757506</v>
      </c>
    </row>
    <row r="41" spans="17:46">
      <c r="Q41">
        <v>34</v>
      </c>
      <c r="R41" s="105">
        <f t="shared" si="0"/>
        <v>10</v>
      </c>
      <c r="S41" s="106">
        <f t="shared" si="34"/>
        <v>0.453333333333333</v>
      </c>
      <c r="T41" s="106">
        <f t="shared" si="2"/>
        <v>4</v>
      </c>
      <c r="U41" s="107">
        <f t="shared" si="35"/>
        <v>1.13333333333333</v>
      </c>
      <c r="V41" s="105">
        <f t="shared" si="36"/>
        <v>2</v>
      </c>
      <c r="W41" s="106">
        <f t="shared" si="37"/>
        <v>0.714285714285714</v>
      </c>
      <c r="X41" s="107">
        <f t="shared" si="38"/>
        <v>0.285714285714286</v>
      </c>
      <c r="Y41" s="105">
        <f t="shared" si="18"/>
        <v>0.868432479374729</v>
      </c>
      <c r="Z41" s="106">
        <f t="shared" si="33"/>
        <v>2.4550991460414</v>
      </c>
      <c r="AA41" s="106">
        <f t="shared" si="19"/>
        <v>1.16072923574529</v>
      </c>
      <c r="AB41" s="106">
        <v>0</v>
      </c>
      <c r="AC41" s="106">
        <f t="shared" si="20"/>
        <v>0.0134729235871386</v>
      </c>
      <c r="AD41" s="107">
        <f t="shared" si="21"/>
        <v>0.0134729235871386</v>
      </c>
      <c r="AE41" s="105">
        <f t="shared" si="22"/>
        <v>0.366984126984127</v>
      </c>
      <c r="AF41" s="106">
        <f t="shared" si="23"/>
        <v>1.16072923574529</v>
      </c>
      <c r="AG41" s="106">
        <f t="shared" si="39"/>
        <v>0.0114519850490678</v>
      </c>
      <c r="AH41" s="106">
        <f t="shared" si="40"/>
        <v>0.134345844364801</v>
      </c>
      <c r="AI41" s="107">
        <f t="shared" si="24"/>
        <v>0.145797829413869</v>
      </c>
      <c r="AJ41" s="105">
        <f t="shared" si="25"/>
        <v>0.453333333333333</v>
      </c>
      <c r="AK41" s="106">
        <f t="shared" si="26"/>
        <v>1.08848723799374</v>
      </c>
      <c r="AL41" s="106">
        <f t="shared" si="27"/>
        <v>0.147333333333333</v>
      </c>
      <c r="AM41" s="106">
        <f t="shared" si="41"/>
        <v>0</v>
      </c>
      <c r="AN41" s="107">
        <f t="shared" si="28"/>
        <v>0.147333333333333</v>
      </c>
      <c r="AO41" s="105">
        <f t="shared" si="42"/>
        <v>0.0134729235871386</v>
      </c>
      <c r="AP41" s="106">
        <f t="shared" si="16"/>
        <v>0.0756</v>
      </c>
      <c r="AQ41" s="107">
        <f t="shared" si="29"/>
        <v>0.0132</v>
      </c>
      <c r="AR41" s="105">
        <f t="shared" si="30"/>
        <v>0.395404086334341</v>
      </c>
      <c r="AS41" s="106">
        <f t="shared" si="31"/>
        <v>4.53333333333333</v>
      </c>
      <c r="AT41" s="107">
        <f t="shared" si="32"/>
        <v>91.977578583178</v>
      </c>
    </row>
    <row r="42" spans="17:46">
      <c r="Q42">
        <v>35</v>
      </c>
      <c r="R42" s="105">
        <f t="shared" si="0"/>
        <v>10</v>
      </c>
      <c r="S42" s="106">
        <f t="shared" si="34"/>
        <v>0.466666666666667</v>
      </c>
      <c r="T42" s="106">
        <f t="shared" si="2"/>
        <v>4</v>
      </c>
      <c r="U42" s="107">
        <f t="shared" si="35"/>
        <v>1.16666666666667</v>
      </c>
      <c r="V42" s="105">
        <f t="shared" si="36"/>
        <v>2</v>
      </c>
      <c r="W42" s="106">
        <f t="shared" si="37"/>
        <v>0.714285714285714</v>
      </c>
      <c r="X42" s="107">
        <f t="shared" si="38"/>
        <v>0.285714285714286</v>
      </c>
      <c r="Y42" s="105">
        <f t="shared" si="18"/>
        <v>0.868432479374729</v>
      </c>
      <c r="Z42" s="106">
        <f t="shared" si="33"/>
        <v>2.50176581270806</v>
      </c>
      <c r="AA42" s="106">
        <f t="shared" si="19"/>
        <v>1.19329754268603</v>
      </c>
      <c r="AB42" s="106">
        <v>0</v>
      </c>
      <c r="AC42" s="106">
        <f t="shared" si="20"/>
        <v>0.0142395902538052</v>
      </c>
      <c r="AD42" s="107">
        <f t="shared" si="21"/>
        <v>0.0142395902538052</v>
      </c>
      <c r="AE42" s="105">
        <f t="shared" si="22"/>
        <v>0.388888888888889</v>
      </c>
      <c r="AF42" s="106">
        <f t="shared" si="23"/>
        <v>1.19329754268603</v>
      </c>
      <c r="AG42" s="106">
        <f t="shared" si="39"/>
        <v>0.0121036517157344</v>
      </c>
      <c r="AH42" s="106">
        <f t="shared" si="40"/>
        <v>0.138297192728472</v>
      </c>
      <c r="AI42" s="107">
        <f t="shared" si="24"/>
        <v>0.150400844444207</v>
      </c>
      <c r="AJ42" s="105">
        <f t="shared" si="25"/>
        <v>0.466666666666667</v>
      </c>
      <c r="AK42" s="106">
        <f t="shared" si="26"/>
        <v>1.11324610950749</v>
      </c>
      <c r="AL42" s="106">
        <f t="shared" si="27"/>
        <v>0.151666666666667</v>
      </c>
      <c r="AM42" s="106">
        <f t="shared" si="41"/>
        <v>0</v>
      </c>
      <c r="AN42" s="107">
        <f t="shared" si="28"/>
        <v>0.151666666666667</v>
      </c>
      <c r="AO42" s="105">
        <f t="shared" si="42"/>
        <v>0.0142395902538052</v>
      </c>
      <c r="AP42" s="106">
        <f t="shared" si="16"/>
        <v>0.0756</v>
      </c>
      <c r="AQ42" s="107">
        <f t="shared" si="29"/>
        <v>0.0132</v>
      </c>
      <c r="AR42" s="105">
        <f t="shared" si="30"/>
        <v>0.405107101364678</v>
      </c>
      <c r="AS42" s="106">
        <f t="shared" si="31"/>
        <v>4.66666666666667</v>
      </c>
      <c r="AT42" s="107">
        <f t="shared" si="32"/>
        <v>92.0125163326848</v>
      </c>
    </row>
    <row r="43" spans="17:46">
      <c r="Q43">
        <v>36</v>
      </c>
      <c r="R43" s="105">
        <f t="shared" si="0"/>
        <v>10</v>
      </c>
      <c r="S43" s="106">
        <f t="shared" si="34"/>
        <v>0.48</v>
      </c>
      <c r="T43" s="106">
        <f t="shared" si="2"/>
        <v>4</v>
      </c>
      <c r="U43" s="107">
        <f t="shared" si="35"/>
        <v>1.2</v>
      </c>
      <c r="V43" s="105">
        <f t="shared" si="36"/>
        <v>2</v>
      </c>
      <c r="W43" s="106">
        <f t="shared" si="37"/>
        <v>0.714285714285714</v>
      </c>
      <c r="X43" s="107">
        <f t="shared" si="38"/>
        <v>0.285714285714286</v>
      </c>
      <c r="Y43" s="105">
        <f t="shared" si="18"/>
        <v>0.868432479374729</v>
      </c>
      <c r="Z43" s="106">
        <f t="shared" si="33"/>
        <v>2.54843247937473</v>
      </c>
      <c r="AA43" s="106">
        <f t="shared" si="19"/>
        <v>1.22590697618923</v>
      </c>
      <c r="AB43" s="106">
        <v>0</v>
      </c>
      <c r="AC43" s="106">
        <f t="shared" si="20"/>
        <v>0.0150284791426941</v>
      </c>
      <c r="AD43" s="107">
        <f t="shared" si="21"/>
        <v>0.0150284791426941</v>
      </c>
      <c r="AE43" s="105">
        <f t="shared" si="22"/>
        <v>0.411428571428572</v>
      </c>
      <c r="AF43" s="106">
        <f t="shared" si="23"/>
        <v>1.22590697618923</v>
      </c>
      <c r="AG43" s="106">
        <f t="shared" si="39"/>
        <v>0.01277420727129</v>
      </c>
      <c r="AH43" s="106">
        <f t="shared" si="40"/>
        <v>0.142248541092143</v>
      </c>
      <c r="AI43" s="107">
        <f t="shared" si="24"/>
        <v>0.155022748363433</v>
      </c>
      <c r="AJ43" s="105">
        <f t="shared" si="25"/>
        <v>0.48</v>
      </c>
      <c r="AK43" s="106">
        <f t="shared" si="26"/>
        <v>1.13801308333267</v>
      </c>
      <c r="AL43" s="106">
        <f t="shared" si="27"/>
        <v>0.156</v>
      </c>
      <c r="AM43" s="106">
        <f t="shared" si="41"/>
        <v>0</v>
      </c>
      <c r="AN43" s="107">
        <f t="shared" si="28"/>
        <v>0.156</v>
      </c>
      <c r="AO43" s="105">
        <f t="shared" si="42"/>
        <v>0.0150284791426941</v>
      </c>
      <c r="AP43" s="106">
        <f t="shared" si="16"/>
        <v>0.0756</v>
      </c>
      <c r="AQ43" s="107">
        <f t="shared" si="29"/>
        <v>0.0132</v>
      </c>
      <c r="AR43" s="105">
        <f t="shared" si="30"/>
        <v>0.414851227506127</v>
      </c>
      <c r="AS43" s="106">
        <f t="shared" si="31"/>
        <v>4.8</v>
      </c>
      <c r="AT43" s="107">
        <f t="shared" si="32"/>
        <v>92.0448118381985</v>
      </c>
    </row>
    <row r="44" spans="17:46">
      <c r="Q44">
        <v>37</v>
      </c>
      <c r="R44" s="105">
        <f t="shared" si="0"/>
        <v>10</v>
      </c>
      <c r="S44" s="106">
        <f t="shared" si="34"/>
        <v>0.493333333333333</v>
      </c>
      <c r="T44" s="106">
        <f t="shared" si="2"/>
        <v>4</v>
      </c>
      <c r="U44" s="107">
        <f t="shared" si="35"/>
        <v>1.23333333333333</v>
      </c>
      <c r="V44" s="105">
        <f t="shared" si="36"/>
        <v>2</v>
      </c>
      <c r="W44" s="106">
        <f t="shared" si="37"/>
        <v>0.714285714285714</v>
      </c>
      <c r="X44" s="107">
        <f t="shared" si="38"/>
        <v>0.285714285714286</v>
      </c>
      <c r="Y44" s="105">
        <f t="shared" si="18"/>
        <v>0.868432479374729</v>
      </c>
      <c r="Z44" s="106">
        <f t="shared" si="33"/>
        <v>2.5950991460414</v>
      </c>
      <c r="AA44" s="106">
        <f t="shared" si="19"/>
        <v>1.25855433946275</v>
      </c>
      <c r="AB44" s="106">
        <v>0</v>
      </c>
      <c r="AC44" s="106">
        <f t="shared" si="20"/>
        <v>0.0158395902538052</v>
      </c>
      <c r="AD44" s="107">
        <f t="shared" si="21"/>
        <v>0.0158395902538052</v>
      </c>
      <c r="AE44" s="105">
        <f t="shared" si="22"/>
        <v>0.434603174603175</v>
      </c>
      <c r="AF44" s="106">
        <f t="shared" si="23"/>
        <v>1.25855433946275</v>
      </c>
      <c r="AG44" s="106">
        <f t="shared" si="39"/>
        <v>0.0134636517157344</v>
      </c>
      <c r="AH44" s="106">
        <f t="shared" si="40"/>
        <v>0.146199889455813</v>
      </c>
      <c r="AI44" s="107">
        <f t="shared" si="24"/>
        <v>0.159663541171548</v>
      </c>
      <c r="AJ44" s="105">
        <f t="shared" si="25"/>
        <v>0.493333333333333</v>
      </c>
      <c r="AK44" s="106">
        <f t="shared" si="26"/>
        <v>1.16278764174012</v>
      </c>
      <c r="AL44" s="106">
        <f t="shared" si="27"/>
        <v>0.160333333333333</v>
      </c>
      <c r="AM44" s="106">
        <f t="shared" si="41"/>
        <v>0</v>
      </c>
      <c r="AN44" s="107">
        <f t="shared" si="28"/>
        <v>0.160333333333333</v>
      </c>
      <c r="AO44" s="105">
        <f t="shared" si="42"/>
        <v>0.0158395902538052</v>
      </c>
      <c r="AP44" s="106">
        <f t="shared" si="16"/>
        <v>0.0756</v>
      </c>
      <c r="AQ44" s="107">
        <f t="shared" si="29"/>
        <v>0.0132</v>
      </c>
      <c r="AR44" s="105">
        <f t="shared" si="30"/>
        <v>0.424636464758686</v>
      </c>
      <c r="AS44" s="106">
        <f t="shared" si="31"/>
        <v>4.93333333333333</v>
      </c>
      <c r="AT44" s="107">
        <f t="shared" si="32"/>
        <v>92.0746760291575</v>
      </c>
    </row>
    <row r="45" spans="17:46">
      <c r="Q45">
        <v>38</v>
      </c>
      <c r="R45" s="105">
        <f t="shared" si="0"/>
        <v>10</v>
      </c>
      <c r="S45" s="106">
        <f t="shared" si="34"/>
        <v>0.506666666666667</v>
      </c>
      <c r="T45" s="106">
        <f t="shared" si="2"/>
        <v>4</v>
      </c>
      <c r="U45" s="107">
        <f t="shared" si="35"/>
        <v>1.26666666666667</v>
      </c>
      <c r="V45" s="105">
        <f t="shared" si="36"/>
        <v>2</v>
      </c>
      <c r="W45" s="106">
        <f t="shared" si="37"/>
        <v>0.714285714285714</v>
      </c>
      <c r="X45" s="107">
        <f t="shared" si="38"/>
        <v>0.285714285714286</v>
      </c>
      <c r="Y45" s="105">
        <f t="shared" si="18"/>
        <v>0.868432479374729</v>
      </c>
      <c r="Z45" s="106">
        <f t="shared" si="33"/>
        <v>2.64176581270806</v>
      </c>
      <c r="AA45" s="106">
        <f t="shared" si="19"/>
        <v>1.29123675548439</v>
      </c>
      <c r="AB45" s="106">
        <v>0</v>
      </c>
      <c r="AC45" s="106">
        <f t="shared" si="20"/>
        <v>0.0166729235871386</v>
      </c>
      <c r="AD45" s="107">
        <f t="shared" si="21"/>
        <v>0.0166729235871386</v>
      </c>
      <c r="AE45" s="105">
        <f t="shared" si="22"/>
        <v>0.458412698412698</v>
      </c>
      <c r="AF45" s="106">
        <f t="shared" si="23"/>
        <v>1.29123675548439</v>
      </c>
      <c r="AG45" s="106">
        <f t="shared" si="39"/>
        <v>0.0141719850490678</v>
      </c>
      <c r="AH45" s="106">
        <f t="shared" si="40"/>
        <v>0.150151237819484</v>
      </c>
      <c r="AI45" s="107">
        <f t="shared" si="24"/>
        <v>0.164323222868552</v>
      </c>
      <c r="AJ45" s="105">
        <f t="shared" si="25"/>
        <v>0.506666666666667</v>
      </c>
      <c r="AK45" s="106">
        <f t="shared" si="26"/>
        <v>1.18756931005109</v>
      </c>
      <c r="AL45" s="106">
        <f t="shared" si="27"/>
        <v>0.164666666666667</v>
      </c>
      <c r="AM45" s="106">
        <f t="shared" si="41"/>
        <v>0</v>
      </c>
      <c r="AN45" s="107">
        <f t="shared" si="28"/>
        <v>0.164666666666667</v>
      </c>
      <c r="AO45" s="105">
        <f t="shared" si="42"/>
        <v>0.0166729235871386</v>
      </c>
      <c r="AP45" s="106">
        <f t="shared" si="16"/>
        <v>0.0756</v>
      </c>
      <c r="AQ45" s="107">
        <f t="shared" si="29"/>
        <v>0.0132</v>
      </c>
      <c r="AR45" s="105">
        <f t="shared" si="30"/>
        <v>0.434462813122357</v>
      </c>
      <c r="AS45" s="106">
        <f t="shared" si="31"/>
        <v>5.06666666666667</v>
      </c>
      <c r="AT45" s="107">
        <f t="shared" si="32"/>
        <v>92.1022979968285</v>
      </c>
    </row>
    <row r="46" spans="17:46">
      <c r="Q46">
        <v>39</v>
      </c>
      <c r="R46" s="105">
        <f t="shared" si="0"/>
        <v>10</v>
      </c>
      <c r="S46" s="106">
        <f t="shared" si="34"/>
        <v>0.52</v>
      </c>
      <c r="T46" s="106">
        <f t="shared" si="2"/>
        <v>4</v>
      </c>
      <c r="U46" s="107">
        <f t="shared" si="35"/>
        <v>1.3</v>
      </c>
      <c r="V46" s="105">
        <f t="shared" si="36"/>
        <v>2</v>
      </c>
      <c r="W46" s="106">
        <f t="shared" si="37"/>
        <v>0.714285714285714</v>
      </c>
      <c r="X46" s="107">
        <f t="shared" si="38"/>
        <v>0.285714285714286</v>
      </c>
      <c r="Y46" s="105">
        <f t="shared" si="18"/>
        <v>0.868432479374729</v>
      </c>
      <c r="Z46" s="106">
        <f t="shared" si="33"/>
        <v>2.68843247937473</v>
      </c>
      <c r="AA46" s="106">
        <f t="shared" si="19"/>
        <v>1.3239516283722</v>
      </c>
      <c r="AB46" s="106">
        <v>0</v>
      </c>
      <c r="AC46" s="106">
        <f t="shared" si="20"/>
        <v>0.0175284791426941</v>
      </c>
      <c r="AD46" s="107">
        <f t="shared" si="21"/>
        <v>0.0175284791426941</v>
      </c>
      <c r="AE46" s="105">
        <f t="shared" si="22"/>
        <v>0.482857142857143</v>
      </c>
      <c r="AF46" s="106">
        <f t="shared" si="23"/>
        <v>1.3239516283722</v>
      </c>
      <c r="AG46" s="106">
        <f t="shared" si="39"/>
        <v>0.01489920727129</v>
      </c>
      <c r="AH46" s="106">
        <f t="shared" si="40"/>
        <v>0.154102586183155</v>
      </c>
      <c r="AI46" s="107">
        <f t="shared" si="24"/>
        <v>0.169001793454445</v>
      </c>
      <c r="AJ46" s="105">
        <f t="shared" si="25"/>
        <v>0.52</v>
      </c>
      <c r="AK46" s="106">
        <f t="shared" si="26"/>
        <v>1.2123576522674</v>
      </c>
      <c r="AL46" s="106">
        <f t="shared" si="27"/>
        <v>0.169</v>
      </c>
      <c r="AM46" s="106">
        <f t="shared" si="41"/>
        <v>0</v>
      </c>
      <c r="AN46" s="107">
        <f t="shared" si="28"/>
        <v>0.169</v>
      </c>
      <c r="AO46" s="105">
        <f t="shared" si="42"/>
        <v>0.0175284791426941</v>
      </c>
      <c r="AP46" s="106">
        <f t="shared" si="16"/>
        <v>0.0756</v>
      </c>
      <c r="AQ46" s="107">
        <f t="shared" si="29"/>
        <v>0.0132</v>
      </c>
      <c r="AR46" s="105">
        <f t="shared" si="30"/>
        <v>0.444330272597139</v>
      </c>
      <c r="AS46" s="106">
        <f t="shared" si="31"/>
        <v>5.2</v>
      </c>
      <c r="AT46" s="107">
        <f t="shared" si="32"/>
        <v>92.1278477491947</v>
      </c>
    </row>
    <row r="47" spans="17:46">
      <c r="Q47">
        <v>40</v>
      </c>
      <c r="R47" s="105">
        <f t="shared" si="0"/>
        <v>10</v>
      </c>
      <c r="S47" s="106">
        <f t="shared" si="34"/>
        <v>0.533333333333333</v>
      </c>
      <c r="T47" s="106">
        <f t="shared" si="2"/>
        <v>4</v>
      </c>
      <c r="U47" s="107">
        <f t="shared" si="35"/>
        <v>1.33333333333333</v>
      </c>
      <c r="V47" s="105">
        <f t="shared" si="36"/>
        <v>2</v>
      </c>
      <c r="W47" s="106">
        <f t="shared" si="37"/>
        <v>0.714285714285714</v>
      </c>
      <c r="X47" s="107">
        <f t="shared" si="38"/>
        <v>0.285714285714286</v>
      </c>
      <c r="Y47" s="105">
        <f t="shared" si="18"/>
        <v>0.868432479374729</v>
      </c>
      <c r="Z47" s="106">
        <f t="shared" si="33"/>
        <v>2.7350991460414</v>
      </c>
      <c r="AA47" s="106">
        <f t="shared" si="19"/>
        <v>1.35669661017015</v>
      </c>
      <c r="AB47" s="106">
        <v>0</v>
      </c>
      <c r="AC47" s="106">
        <f t="shared" si="20"/>
        <v>0.0184062569204719</v>
      </c>
      <c r="AD47" s="107">
        <f t="shared" si="21"/>
        <v>0.0184062569204719</v>
      </c>
      <c r="AE47" s="105">
        <f t="shared" si="22"/>
        <v>0.507936507936508</v>
      </c>
      <c r="AF47" s="106">
        <f t="shared" si="23"/>
        <v>1.35669661017015</v>
      </c>
      <c r="AG47" s="106">
        <f t="shared" si="39"/>
        <v>0.0156453183824011</v>
      </c>
      <c r="AH47" s="106">
        <f t="shared" si="40"/>
        <v>0.158053934546825</v>
      </c>
      <c r="AI47" s="107">
        <f t="shared" si="24"/>
        <v>0.173699252929226</v>
      </c>
      <c r="AJ47" s="105">
        <f t="shared" si="25"/>
        <v>0.533333333333333</v>
      </c>
      <c r="AK47" s="106">
        <f t="shared" si="26"/>
        <v>1.23715226722174</v>
      </c>
      <c r="AL47" s="106">
        <f t="shared" si="27"/>
        <v>0.173333333333333</v>
      </c>
      <c r="AM47" s="106">
        <f t="shared" si="41"/>
        <v>0</v>
      </c>
      <c r="AN47" s="107">
        <f t="shared" si="28"/>
        <v>0.173333333333333</v>
      </c>
      <c r="AO47" s="105">
        <f t="shared" si="42"/>
        <v>0.0184062569204719</v>
      </c>
      <c r="AP47" s="106">
        <f t="shared" si="16"/>
        <v>0.0756</v>
      </c>
      <c r="AQ47" s="107">
        <f t="shared" si="29"/>
        <v>0.0132</v>
      </c>
      <c r="AR47" s="105">
        <f t="shared" si="30"/>
        <v>0.454238843183032</v>
      </c>
      <c r="AS47" s="106">
        <f t="shared" si="31"/>
        <v>5.33333333333333</v>
      </c>
      <c r="AT47" s="107">
        <f t="shared" si="32"/>
        <v>92.1514785590727</v>
      </c>
    </row>
    <row r="48" spans="17:46">
      <c r="Q48">
        <v>41</v>
      </c>
      <c r="R48" s="105">
        <f t="shared" si="0"/>
        <v>10</v>
      </c>
      <c r="S48" s="106">
        <f t="shared" si="34"/>
        <v>0.546666666666667</v>
      </c>
      <c r="T48" s="106">
        <f t="shared" si="2"/>
        <v>4</v>
      </c>
      <c r="U48" s="107">
        <f t="shared" si="35"/>
        <v>1.36666666666667</v>
      </c>
      <c r="V48" s="105">
        <f t="shared" si="36"/>
        <v>2</v>
      </c>
      <c r="W48" s="106">
        <f t="shared" si="37"/>
        <v>0.714285714285714</v>
      </c>
      <c r="X48" s="107">
        <f t="shared" si="38"/>
        <v>0.285714285714286</v>
      </c>
      <c r="Y48" s="105">
        <f t="shared" si="18"/>
        <v>0.868432479374729</v>
      </c>
      <c r="Z48" s="106">
        <f t="shared" si="33"/>
        <v>2.78176581270806</v>
      </c>
      <c r="AA48" s="106">
        <f t="shared" si="19"/>
        <v>1.38946957219192</v>
      </c>
      <c r="AB48" s="106">
        <v>0</v>
      </c>
      <c r="AC48" s="106">
        <f t="shared" si="20"/>
        <v>0.0193062569204719</v>
      </c>
      <c r="AD48" s="107">
        <f t="shared" si="21"/>
        <v>0.0193062569204719</v>
      </c>
      <c r="AE48" s="105">
        <f t="shared" si="22"/>
        <v>0.533650793650794</v>
      </c>
      <c r="AF48" s="106">
        <f t="shared" si="23"/>
        <v>1.38946957219192</v>
      </c>
      <c r="AG48" s="106">
        <f t="shared" si="39"/>
        <v>0.0164103183824011</v>
      </c>
      <c r="AH48" s="106">
        <f t="shared" si="40"/>
        <v>0.162005282910496</v>
      </c>
      <c r="AI48" s="107">
        <f t="shared" si="24"/>
        <v>0.178415601292897</v>
      </c>
      <c r="AJ48" s="105">
        <f t="shared" si="25"/>
        <v>0.546666666666667</v>
      </c>
      <c r="AK48" s="106">
        <f t="shared" si="26"/>
        <v>1.26195278517735</v>
      </c>
      <c r="AL48" s="106">
        <f t="shared" si="27"/>
        <v>0.177666666666667</v>
      </c>
      <c r="AM48" s="106">
        <f t="shared" si="41"/>
        <v>0</v>
      </c>
      <c r="AN48" s="107">
        <f t="shared" si="28"/>
        <v>0.177666666666667</v>
      </c>
      <c r="AO48" s="105">
        <f t="shared" si="42"/>
        <v>0.0193062569204719</v>
      </c>
      <c r="AP48" s="106">
        <f t="shared" si="16"/>
        <v>0.0756</v>
      </c>
      <c r="AQ48" s="107">
        <f t="shared" si="29"/>
        <v>0.0132</v>
      </c>
      <c r="AR48" s="105">
        <f t="shared" si="30"/>
        <v>0.464188524880036</v>
      </c>
      <c r="AS48" s="106">
        <f t="shared" si="31"/>
        <v>5.46666666666667</v>
      </c>
      <c r="AT48" s="107">
        <f t="shared" si="32"/>
        <v>92.1733289738443</v>
      </c>
    </row>
    <row r="49" spans="17:46">
      <c r="Q49">
        <v>42</v>
      </c>
      <c r="R49" s="105">
        <f t="shared" si="0"/>
        <v>10</v>
      </c>
      <c r="S49" s="106">
        <f t="shared" si="34"/>
        <v>0.56</v>
      </c>
      <c r="T49" s="106">
        <f t="shared" si="2"/>
        <v>4</v>
      </c>
      <c r="U49" s="107">
        <f t="shared" si="35"/>
        <v>1.4</v>
      </c>
      <c r="V49" s="105">
        <f t="shared" si="36"/>
        <v>2</v>
      </c>
      <c r="W49" s="106">
        <f t="shared" si="37"/>
        <v>0.714285714285714</v>
      </c>
      <c r="X49" s="107">
        <f t="shared" si="38"/>
        <v>0.285714285714286</v>
      </c>
      <c r="Y49" s="105">
        <f t="shared" si="18"/>
        <v>0.868432479374729</v>
      </c>
      <c r="Z49" s="106">
        <f t="shared" si="33"/>
        <v>2.82843247937473</v>
      </c>
      <c r="AA49" s="106">
        <f t="shared" si="19"/>
        <v>1.42226858021592</v>
      </c>
      <c r="AB49" s="106">
        <v>0</v>
      </c>
      <c r="AC49" s="106">
        <f t="shared" si="20"/>
        <v>0.0202284791426941</v>
      </c>
      <c r="AD49" s="107">
        <f t="shared" si="21"/>
        <v>0.0202284791426941</v>
      </c>
      <c r="AE49" s="105">
        <f t="shared" si="22"/>
        <v>0.56</v>
      </c>
      <c r="AF49" s="106">
        <f t="shared" si="23"/>
        <v>1.42226858021592</v>
      </c>
      <c r="AG49" s="106">
        <f t="shared" si="39"/>
        <v>0.01719420727129</v>
      </c>
      <c r="AH49" s="106">
        <f t="shared" si="40"/>
        <v>0.165956631274167</v>
      </c>
      <c r="AI49" s="107">
        <f t="shared" si="24"/>
        <v>0.183150838545457</v>
      </c>
      <c r="AJ49" s="105">
        <f t="shared" si="25"/>
        <v>0.56</v>
      </c>
      <c r="AK49" s="106">
        <f t="shared" si="26"/>
        <v>1.28675886481746</v>
      </c>
      <c r="AL49" s="106">
        <f t="shared" si="27"/>
        <v>0.182</v>
      </c>
      <c r="AM49" s="106">
        <f t="shared" si="41"/>
        <v>0</v>
      </c>
      <c r="AN49" s="107">
        <f t="shared" si="28"/>
        <v>0.182</v>
      </c>
      <c r="AO49" s="105">
        <f t="shared" si="42"/>
        <v>0.0202284791426941</v>
      </c>
      <c r="AP49" s="106">
        <f t="shared" si="16"/>
        <v>0.0756</v>
      </c>
      <c r="AQ49" s="107">
        <f t="shared" si="29"/>
        <v>0.0132</v>
      </c>
      <c r="AR49" s="105">
        <f t="shared" si="30"/>
        <v>0.474179317688151</v>
      </c>
      <c r="AS49" s="106">
        <f t="shared" si="31"/>
        <v>5.6</v>
      </c>
      <c r="AT49" s="107">
        <f t="shared" si="32"/>
        <v>92.1935245423636</v>
      </c>
    </row>
    <row r="50" spans="17:46">
      <c r="Q50">
        <v>43</v>
      </c>
      <c r="R50" s="105">
        <f t="shared" si="0"/>
        <v>10</v>
      </c>
      <c r="S50" s="106">
        <f t="shared" si="34"/>
        <v>0.573333333333333</v>
      </c>
      <c r="T50" s="106">
        <f t="shared" si="2"/>
        <v>4</v>
      </c>
      <c r="U50" s="107">
        <f t="shared" si="35"/>
        <v>1.43333333333333</v>
      </c>
      <c r="V50" s="105">
        <f t="shared" si="36"/>
        <v>2</v>
      </c>
      <c r="W50" s="106">
        <f t="shared" si="37"/>
        <v>0.714285714285714</v>
      </c>
      <c r="X50" s="107">
        <f t="shared" si="38"/>
        <v>0.285714285714286</v>
      </c>
      <c r="Y50" s="105">
        <f t="shared" si="18"/>
        <v>0.868432479374729</v>
      </c>
      <c r="Z50" s="106">
        <f t="shared" si="33"/>
        <v>2.8750991460414</v>
      </c>
      <c r="AA50" s="106">
        <f t="shared" si="19"/>
        <v>1.45509187294612</v>
      </c>
      <c r="AB50" s="106">
        <v>0</v>
      </c>
      <c r="AC50" s="106">
        <f t="shared" si="20"/>
        <v>0.0211729235871386</v>
      </c>
      <c r="AD50" s="107">
        <f t="shared" si="21"/>
        <v>0.0211729235871386</v>
      </c>
      <c r="AE50" s="105">
        <f t="shared" si="22"/>
        <v>0.586984126984127</v>
      </c>
      <c r="AF50" s="106">
        <f t="shared" si="23"/>
        <v>1.45509187294612</v>
      </c>
      <c r="AG50" s="106">
        <f t="shared" si="39"/>
        <v>0.0179969850490678</v>
      </c>
      <c r="AH50" s="106">
        <f t="shared" si="40"/>
        <v>0.169907979637837</v>
      </c>
      <c r="AI50" s="107">
        <f t="shared" si="24"/>
        <v>0.187904964686905</v>
      </c>
      <c r="AJ50" s="105">
        <f t="shared" si="25"/>
        <v>0.573333333333333</v>
      </c>
      <c r="AK50" s="106">
        <f t="shared" si="26"/>
        <v>1.31157019057319</v>
      </c>
      <c r="AL50" s="106">
        <f t="shared" si="27"/>
        <v>0.186333333333333</v>
      </c>
      <c r="AM50" s="106">
        <f t="shared" si="41"/>
        <v>0</v>
      </c>
      <c r="AN50" s="107">
        <f t="shared" si="28"/>
        <v>0.186333333333333</v>
      </c>
      <c r="AO50" s="105">
        <f t="shared" si="42"/>
        <v>0.0211729235871386</v>
      </c>
      <c r="AP50" s="106">
        <f t="shared" si="16"/>
        <v>0.0756</v>
      </c>
      <c r="AQ50" s="107">
        <f t="shared" si="29"/>
        <v>0.0132</v>
      </c>
      <c r="AR50" s="105">
        <f t="shared" si="30"/>
        <v>0.484211221607377</v>
      </c>
      <c r="AS50" s="106">
        <f t="shared" si="31"/>
        <v>5.73333333333333</v>
      </c>
      <c r="AT50" s="107">
        <f t="shared" si="32"/>
        <v>92.2121793044072</v>
      </c>
    </row>
    <row r="51" spans="17:46">
      <c r="Q51">
        <v>44</v>
      </c>
      <c r="R51" s="105">
        <f t="shared" si="0"/>
        <v>10</v>
      </c>
      <c r="S51" s="106">
        <f t="shared" si="34"/>
        <v>0.586666666666667</v>
      </c>
      <c r="T51" s="106">
        <f t="shared" si="2"/>
        <v>4</v>
      </c>
      <c r="U51" s="107">
        <f t="shared" si="35"/>
        <v>1.46666666666667</v>
      </c>
      <c r="V51" s="105">
        <f t="shared" si="36"/>
        <v>2</v>
      </c>
      <c r="W51" s="106">
        <f t="shared" si="37"/>
        <v>0.714285714285714</v>
      </c>
      <c r="X51" s="107">
        <f t="shared" si="38"/>
        <v>0.285714285714286</v>
      </c>
      <c r="Y51" s="105">
        <f t="shared" si="18"/>
        <v>0.868432479374729</v>
      </c>
      <c r="Z51" s="106">
        <f t="shared" si="33"/>
        <v>2.92176581270806</v>
      </c>
      <c r="AA51" s="106">
        <f t="shared" si="19"/>
        <v>1.4879378432517</v>
      </c>
      <c r="AB51" s="106">
        <v>0</v>
      </c>
      <c r="AC51" s="106">
        <f t="shared" si="20"/>
        <v>0.0221395902538052</v>
      </c>
      <c r="AD51" s="107">
        <f t="shared" si="21"/>
        <v>0.0221395902538052</v>
      </c>
      <c r="AE51" s="105">
        <f t="shared" si="22"/>
        <v>0.614603174603175</v>
      </c>
      <c r="AF51" s="106">
        <f t="shared" si="23"/>
        <v>1.4879378432517</v>
      </c>
      <c r="AG51" s="106">
        <f t="shared" si="39"/>
        <v>0.0188186517157344</v>
      </c>
      <c r="AH51" s="106">
        <f t="shared" si="40"/>
        <v>0.173859328001508</v>
      </c>
      <c r="AI51" s="107">
        <f t="shared" si="24"/>
        <v>0.192677979717242</v>
      </c>
      <c r="AJ51" s="105">
        <f t="shared" si="25"/>
        <v>0.586666666666667</v>
      </c>
      <c r="AK51" s="106">
        <f t="shared" si="26"/>
        <v>1.33638647024674</v>
      </c>
      <c r="AL51" s="106">
        <f t="shared" si="27"/>
        <v>0.190666666666667</v>
      </c>
      <c r="AM51" s="106">
        <f t="shared" si="41"/>
        <v>0</v>
      </c>
      <c r="AN51" s="107">
        <f t="shared" si="28"/>
        <v>0.190666666666667</v>
      </c>
      <c r="AO51" s="105">
        <f t="shared" si="42"/>
        <v>0.0221395902538052</v>
      </c>
      <c r="AP51" s="106">
        <f t="shared" si="16"/>
        <v>0.0756</v>
      </c>
      <c r="AQ51" s="107">
        <f t="shared" si="29"/>
        <v>0.0132</v>
      </c>
      <c r="AR51" s="105">
        <f t="shared" si="30"/>
        <v>0.494284236637714</v>
      </c>
      <c r="AS51" s="106">
        <f t="shared" si="31"/>
        <v>5.86666666666667</v>
      </c>
      <c r="AT51" s="107">
        <f t="shared" si="32"/>
        <v>92.2293970799092</v>
      </c>
    </row>
    <row r="52" spans="17:46">
      <c r="Q52">
        <v>45</v>
      </c>
      <c r="R52" s="105">
        <f t="shared" si="0"/>
        <v>10</v>
      </c>
      <c r="S52" s="106">
        <f t="shared" si="34"/>
        <v>0.6</v>
      </c>
      <c r="T52" s="106">
        <f t="shared" si="2"/>
        <v>4</v>
      </c>
      <c r="U52" s="107">
        <f t="shared" si="35"/>
        <v>1.5</v>
      </c>
      <c r="V52" s="105">
        <f t="shared" si="36"/>
        <v>2</v>
      </c>
      <c r="W52" s="106">
        <f t="shared" si="37"/>
        <v>0.714285714285714</v>
      </c>
      <c r="X52" s="107">
        <f t="shared" si="38"/>
        <v>0.285714285714286</v>
      </c>
      <c r="Y52" s="105">
        <f t="shared" si="18"/>
        <v>0.868432479374729</v>
      </c>
      <c r="Z52" s="106">
        <f t="shared" si="33"/>
        <v>2.96843247937473</v>
      </c>
      <c r="AA52" s="106">
        <f t="shared" si="19"/>
        <v>1.52080502177939</v>
      </c>
      <c r="AB52" s="106">
        <v>0</v>
      </c>
      <c r="AC52" s="106">
        <f t="shared" si="20"/>
        <v>0.0231284791426941</v>
      </c>
      <c r="AD52" s="107">
        <f t="shared" si="21"/>
        <v>0.0231284791426941</v>
      </c>
      <c r="AE52" s="105">
        <f t="shared" si="22"/>
        <v>0.642857142857143</v>
      </c>
      <c r="AF52" s="106">
        <f t="shared" si="23"/>
        <v>1.52080502177939</v>
      </c>
      <c r="AG52" s="106">
        <f t="shared" si="39"/>
        <v>0.01965920727129</v>
      </c>
      <c r="AH52" s="106">
        <f t="shared" si="40"/>
        <v>0.177810676365178</v>
      </c>
      <c r="AI52" s="107">
        <f t="shared" si="24"/>
        <v>0.197469883636468</v>
      </c>
      <c r="AJ52" s="105">
        <f t="shared" si="25"/>
        <v>0.6</v>
      </c>
      <c r="AK52" s="106">
        <f t="shared" si="26"/>
        <v>1.36120743289232</v>
      </c>
      <c r="AL52" s="106">
        <f t="shared" si="27"/>
        <v>0.195</v>
      </c>
      <c r="AM52" s="106">
        <f t="shared" si="41"/>
        <v>0</v>
      </c>
      <c r="AN52" s="107">
        <f t="shared" si="28"/>
        <v>0.195</v>
      </c>
      <c r="AO52" s="105">
        <f t="shared" si="42"/>
        <v>0.0231284791426941</v>
      </c>
      <c r="AP52" s="106">
        <f t="shared" si="16"/>
        <v>0.0756</v>
      </c>
      <c r="AQ52" s="107">
        <f t="shared" si="29"/>
        <v>0.0132</v>
      </c>
      <c r="AR52" s="105">
        <f t="shared" si="30"/>
        <v>0.504398362779163</v>
      </c>
      <c r="AS52" s="106">
        <f t="shared" si="31"/>
        <v>6</v>
      </c>
      <c r="AT52" s="107">
        <f t="shared" si="32"/>
        <v>92.2452725886911</v>
      </c>
    </row>
    <row r="53" spans="17:46">
      <c r="Q53">
        <v>46</v>
      </c>
      <c r="R53" s="105">
        <f t="shared" si="0"/>
        <v>10</v>
      </c>
      <c r="S53" s="106">
        <f t="shared" si="34"/>
        <v>0.613333333333333</v>
      </c>
      <c r="T53" s="106">
        <f t="shared" si="2"/>
        <v>4</v>
      </c>
      <c r="U53" s="107">
        <f t="shared" si="35"/>
        <v>1.53333333333333</v>
      </c>
      <c r="V53" s="105">
        <f t="shared" si="36"/>
        <v>2</v>
      </c>
      <c r="W53" s="106">
        <f t="shared" si="37"/>
        <v>0.714285714285714</v>
      </c>
      <c r="X53" s="107">
        <f t="shared" si="38"/>
        <v>0.285714285714286</v>
      </c>
      <c r="Y53" s="105">
        <f t="shared" si="18"/>
        <v>0.868432479374729</v>
      </c>
      <c r="Z53" s="106">
        <f t="shared" si="33"/>
        <v>3.0150991460414</v>
      </c>
      <c r="AA53" s="106">
        <f t="shared" si="19"/>
        <v>1.55369206259816</v>
      </c>
      <c r="AB53" s="106">
        <v>0</v>
      </c>
      <c r="AC53" s="106">
        <f t="shared" si="20"/>
        <v>0.0241395902538052</v>
      </c>
      <c r="AD53" s="107">
        <f t="shared" si="21"/>
        <v>0.0241395902538052</v>
      </c>
      <c r="AE53" s="105">
        <f t="shared" si="22"/>
        <v>0.671746031746032</v>
      </c>
      <c r="AF53" s="106">
        <f t="shared" si="23"/>
        <v>1.55369206259816</v>
      </c>
      <c r="AG53" s="106">
        <f t="shared" si="39"/>
        <v>0.0205186517157344</v>
      </c>
      <c r="AH53" s="106">
        <f t="shared" si="40"/>
        <v>0.181762024728849</v>
      </c>
      <c r="AI53" s="107">
        <f t="shared" si="24"/>
        <v>0.202280676444584</v>
      </c>
      <c r="AJ53" s="105">
        <f t="shared" si="25"/>
        <v>0.613333333333333</v>
      </c>
      <c r="AK53" s="106">
        <f t="shared" si="26"/>
        <v>1.38603282692313</v>
      </c>
      <c r="AL53" s="106">
        <f t="shared" si="27"/>
        <v>0.199333333333333</v>
      </c>
      <c r="AM53" s="106">
        <f t="shared" si="41"/>
        <v>0</v>
      </c>
      <c r="AN53" s="107">
        <f t="shared" si="28"/>
        <v>0.199333333333333</v>
      </c>
      <c r="AO53" s="105">
        <f t="shared" si="42"/>
        <v>0.0241395902538052</v>
      </c>
      <c r="AP53" s="106">
        <f t="shared" si="16"/>
        <v>0.0756</v>
      </c>
      <c r="AQ53" s="107">
        <f t="shared" si="29"/>
        <v>0.0132</v>
      </c>
      <c r="AR53" s="105">
        <f t="shared" si="30"/>
        <v>0.514553600031722</v>
      </c>
      <c r="AS53" s="106">
        <f t="shared" si="31"/>
        <v>6.13333333333333</v>
      </c>
      <c r="AT53" s="107">
        <f t="shared" si="32"/>
        <v>92.2598924261297</v>
      </c>
    </row>
    <row r="54" spans="17:46">
      <c r="Q54">
        <v>47</v>
      </c>
      <c r="R54" s="105">
        <f t="shared" si="0"/>
        <v>10</v>
      </c>
      <c r="S54" s="106">
        <f t="shared" si="34"/>
        <v>0.626666666666667</v>
      </c>
      <c r="T54" s="106">
        <f t="shared" si="2"/>
        <v>4</v>
      </c>
      <c r="U54" s="107">
        <f t="shared" si="35"/>
        <v>1.56666666666667</v>
      </c>
      <c r="V54" s="105">
        <f t="shared" si="36"/>
        <v>2</v>
      </c>
      <c r="W54" s="106">
        <f t="shared" si="37"/>
        <v>0.714285714285714</v>
      </c>
      <c r="X54" s="107">
        <f t="shared" si="38"/>
        <v>0.285714285714286</v>
      </c>
      <c r="Y54" s="105">
        <f t="shared" si="18"/>
        <v>0.868432479374729</v>
      </c>
      <c r="Z54" s="106">
        <f t="shared" si="33"/>
        <v>3.06176581270806</v>
      </c>
      <c r="AA54" s="106">
        <f t="shared" si="19"/>
        <v>1.58659773059016</v>
      </c>
      <c r="AB54" s="106">
        <v>0</v>
      </c>
      <c r="AC54" s="106">
        <f t="shared" si="20"/>
        <v>0.0251729235871386</v>
      </c>
      <c r="AD54" s="107">
        <f t="shared" si="21"/>
        <v>0.0251729235871386</v>
      </c>
      <c r="AE54" s="105">
        <f t="shared" si="22"/>
        <v>0.701269841269841</v>
      </c>
      <c r="AF54" s="106">
        <f t="shared" si="23"/>
        <v>1.58659773059016</v>
      </c>
      <c r="AG54" s="106">
        <f t="shared" si="39"/>
        <v>0.0213969850490678</v>
      </c>
      <c r="AH54" s="106">
        <f t="shared" si="40"/>
        <v>0.18571337309252</v>
      </c>
      <c r="AI54" s="107">
        <f t="shared" si="24"/>
        <v>0.207110358141588</v>
      </c>
      <c r="AJ54" s="105">
        <f t="shared" si="25"/>
        <v>0.626666666666667</v>
      </c>
      <c r="AK54" s="106">
        <f t="shared" si="26"/>
        <v>1.41086241841655</v>
      </c>
      <c r="AL54" s="106">
        <f t="shared" si="27"/>
        <v>0.203666666666667</v>
      </c>
      <c r="AM54" s="106">
        <f t="shared" si="41"/>
        <v>0</v>
      </c>
      <c r="AN54" s="107">
        <f t="shared" si="28"/>
        <v>0.203666666666667</v>
      </c>
      <c r="AO54" s="105">
        <f t="shared" si="42"/>
        <v>0.0251729235871386</v>
      </c>
      <c r="AP54" s="106">
        <f t="shared" si="16"/>
        <v>0.0756</v>
      </c>
      <c r="AQ54" s="107">
        <f t="shared" si="29"/>
        <v>0.0132</v>
      </c>
      <c r="AR54" s="105">
        <f t="shared" si="30"/>
        <v>0.524749948395393</v>
      </c>
      <c r="AS54" s="106">
        <f t="shared" si="31"/>
        <v>6.26666666666667</v>
      </c>
      <c r="AT54" s="107">
        <f t="shared" si="32"/>
        <v>92.2733359159325</v>
      </c>
    </row>
    <row r="55" spans="17:46">
      <c r="Q55">
        <v>48</v>
      </c>
      <c r="R55" s="105">
        <f t="shared" si="0"/>
        <v>10</v>
      </c>
      <c r="S55" s="106">
        <f t="shared" si="34"/>
        <v>0.64</v>
      </c>
      <c r="T55" s="106">
        <f t="shared" si="2"/>
        <v>4</v>
      </c>
      <c r="U55" s="107">
        <f t="shared" si="35"/>
        <v>1.6</v>
      </c>
      <c r="V55" s="105">
        <f t="shared" si="36"/>
        <v>2</v>
      </c>
      <c r="W55" s="106">
        <f t="shared" si="37"/>
        <v>0.714285714285714</v>
      </c>
      <c r="X55" s="107">
        <f t="shared" si="38"/>
        <v>0.285714285714286</v>
      </c>
      <c r="Y55" s="105">
        <f t="shared" si="18"/>
        <v>0.868432479374729</v>
      </c>
      <c r="Z55" s="106">
        <f t="shared" si="33"/>
        <v>3.10843247937473</v>
      </c>
      <c r="AA55" s="106">
        <f t="shared" si="19"/>
        <v>1.61952089034671</v>
      </c>
      <c r="AB55" s="106">
        <v>0</v>
      </c>
      <c r="AC55" s="106">
        <f t="shared" si="20"/>
        <v>0.0262284791426941</v>
      </c>
      <c r="AD55" s="107">
        <f t="shared" si="21"/>
        <v>0.0262284791426941</v>
      </c>
      <c r="AE55" s="105">
        <f t="shared" si="22"/>
        <v>0.731428571428571</v>
      </c>
      <c r="AF55" s="106">
        <f t="shared" si="23"/>
        <v>1.61952089034671</v>
      </c>
      <c r="AG55" s="106">
        <f t="shared" si="39"/>
        <v>0.02229420727129</v>
      </c>
      <c r="AH55" s="106">
        <f t="shared" si="40"/>
        <v>0.18966472145619</v>
      </c>
      <c r="AI55" s="107">
        <f t="shared" si="24"/>
        <v>0.21195892872748</v>
      </c>
      <c r="AJ55" s="105">
        <f t="shared" si="25"/>
        <v>0.64</v>
      </c>
      <c r="AK55" s="106">
        <f t="shared" si="26"/>
        <v>1.435695989594</v>
      </c>
      <c r="AL55" s="106">
        <f t="shared" si="27"/>
        <v>0.208</v>
      </c>
      <c r="AM55" s="106">
        <f t="shared" si="41"/>
        <v>0</v>
      </c>
      <c r="AN55" s="107">
        <f t="shared" si="28"/>
        <v>0.208</v>
      </c>
      <c r="AO55" s="105">
        <f t="shared" si="42"/>
        <v>0.0262284791426941</v>
      </c>
      <c r="AP55" s="106">
        <f t="shared" si="16"/>
        <v>0.0756</v>
      </c>
      <c r="AQ55" s="107">
        <f t="shared" si="29"/>
        <v>0.0132</v>
      </c>
      <c r="AR55" s="105">
        <f t="shared" si="30"/>
        <v>0.534987407870175</v>
      </c>
      <c r="AS55" s="106">
        <f t="shared" si="31"/>
        <v>6.4</v>
      </c>
      <c r="AT55" s="107">
        <f t="shared" si="32"/>
        <v>92.2856758577089</v>
      </c>
    </row>
    <row r="56" spans="17:46">
      <c r="Q56">
        <v>49</v>
      </c>
      <c r="R56" s="105">
        <f t="shared" si="0"/>
        <v>10</v>
      </c>
      <c r="S56" s="106">
        <f t="shared" si="34"/>
        <v>0.653333333333333</v>
      </c>
      <c r="T56" s="106">
        <f t="shared" si="2"/>
        <v>4</v>
      </c>
      <c r="U56" s="107">
        <f t="shared" si="35"/>
        <v>1.63333333333333</v>
      </c>
      <c r="V56" s="105">
        <f t="shared" si="36"/>
        <v>2</v>
      </c>
      <c r="W56" s="106">
        <f t="shared" si="37"/>
        <v>0.714285714285714</v>
      </c>
      <c r="X56" s="107">
        <f t="shared" si="38"/>
        <v>0.285714285714286</v>
      </c>
      <c r="Y56" s="105">
        <f t="shared" si="18"/>
        <v>0.868432479374729</v>
      </c>
      <c r="Z56" s="106">
        <f t="shared" si="33"/>
        <v>3.1550991460414</v>
      </c>
      <c r="AA56" s="106">
        <f t="shared" si="19"/>
        <v>1.6524604963651</v>
      </c>
      <c r="AB56" s="106">
        <v>0</v>
      </c>
      <c r="AC56" s="106">
        <f t="shared" si="20"/>
        <v>0.0273062569204719</v>
      </c>
      <c r="AD56" s="107">
        <f t="shared" si="21"/>
        <v>0.0273062569204719</v>
      </c>
      <c r="AE56" s="105">
        <f t="shared" si="22"/>
        <v>0.762222222222222</v>
      </c>
      <c r="AF56" s="106">
        <f t="shared" si="23"/>
        <v>1.6524604963651</v>
      </c>
      <c r="AG56" s="106">
        <f t="shared" si="39"/>
        <v>0.0232103183824011</v>
      </c>
      <c r="AH56" s="106">
        <f t="shared" si="40"/>
        <v>0.193616069819861</v>
      </c>
      <c r="AI56" s="107">
        <f t="shared" si="24"/>
        <v>0.216826388202262</v>
      </c>
      <c r="AJ56" s="105">
        <f t="shared" si="25"/>
        <v>0.653333333333333</v>
      </c>
      <c r="AK56" s="106">
        <f t="shared" si="26"/>
        <v>1.4605333374548</v>
      </c>
      <c r="AL56" s="106">
        <f t="shared" si="27"/>
        <v>0.212333333333333</v>
      </c>
      <c r="AM56" s="106">
        <f t="shared" si="41"/>
        <v>0</v>
      </c>
      <c r="AN56" s="107">
        <f t="shared" si="28"/>
        <v>0.212333333333333</v>
      </c>
      <c r="AO56" s="105">
        <f t="shared" si="42"/>
        <v>0.0273062569204719</v>
      </c>
      <c r="AP56" s="106">
        <f t="shared" si="16"/>
        <v>0.0756</v>
      </c>
      <c r="AQ56" s="107">
        <f t="shared" si="29"/>
        <v>0.0132</v>
      </c>
      <c r="AR56" s="105">
        <f t="shared" si="30"/>
        <v>0.545265978456067</v>
      </c>
      <c r="AS56" s="106">
        <f t="shared" si="31"/>
        <v>6.53333333333333</v>
      </c>
      <c r="AT56" s="107">
        <f t="shared" si="32"/>
        <v>92.2969791841738</v>
      </c>
    </row>
    <row r="57" spans="17:46">
      <c r="Q57">
        <v>50</v>
      </c>
      <c r="R57" s="105">
        <f t="shared" si="0"/>
        <v>10</v>
      </c>
      <c r="S57" s="106">
        <f t="shared" si="34"/>
        <v>0.666666666666667</v>
      </c>
      <c r="T57" s="106">
        <f t="shared" si="2"/>
        <v>4</v>
      </c>
      <c r="U57" s="107">
        <f t="shared" si="35"/>
        <v>1.66666666666667</v>
      </c>
      <c r="V57" s="105">
        <f t="shared" si="36"/>
        <v>2</v>
      </c>
      <c r="W57" s="106">
        <f t="shared" si="37"/>
        <v>0.714285714285714</v>
      </c>
      <c r="X57" s="107">
        <f t="shared" si="38"/>
        <v>0.285714285714286</v>
      </c>
      <c r="Y57" s="105">
        <f t="shared" si="18"/>
        <v>0.868432479374729</v>
      </c>
      <c r="Z57" s="106">
        <f t="shared" si="33"/>
        <v>3.20176581270806</v>
      </c>
      <c r="AA57" s="106">
        <f t="shared" si="19"/>
        <v>1.68541558437294</v>
      </c>
      <c r="AB57" s="106">
        <v>0</v>
      </c>
      <c r="AC57" s="106">
        <f t="shared" si="20"/>
        <v>0.0284062569204719</v>
      </c>
      <c r="AD57" s="107">
        <f t="shared" si="21"/>
        <v>0.0284062569204719</v>
      </c>
      <c r="AE57" s="105">
        <f t="shared" si="22"/>
        <v>0.793650793650794</v>
      </c>
      <c r="AF57" s="106">
        <f t="shared" si="23"/>
        <v>1.68541558437294</v>
      </c>
      <c r="AG57" s="106">
        <f t="shared" si="39"/>
        <v>0.0241453183824011</v>
      </c>
      <c r="AH57" s="106">
        <f t="shared" si="40"/>
        <v>0.197567418183532</v>
      </c>
      <c r="AI57" s="107">
        <f t="shared" si="24"/>
        <v>0.221712736565933</v>
      </c>
      <c r="AJ57" s="105">
        <f t="shared" si="25"/>
        <v>0.666666666666667</v>
      </c>
      <c r="AK57" s="106">
        <f t="shared" si="26"/>
        <v>1.4853742725461</v>
      </c>
      <c r="AL57" s="106">
        <f t="shared" si="27"/>
        <v>0.216666666666667</v>
      </c>
      <c r="AM57" s="106">
        <f t="shared" si="41"/>
        <v>0</v>
      </c>
      <c r="AN57" s="107">
        <f t="shared" si="28"/>
        <v>0.216666666666667</v>
      </c>
      <c r="AO57" s="105">
        <f t="shared" si="42"/>
        <v>0.0284062569204719</v>
      </c>
      <c r="AP57" s="106">
        <f t="shared" si="16"/>
        <v>0.0756</v>
      </c>
      <c r="AQ57" s="107">
        <f t="shared" si="29"/>
        <v>0.0132</v>
      </c>
      <c r="AR57" s="105">
        <f t="shared" si="30"/>
        <v>0.555585660153071</v>
      </c>
      <c r="AS57" s="106">
        <f t="shared" si="31"/>
        <v>6.66666666666667</v>
      </c>
      <c r="AT57" s="107">
        <f t="shared" si="32"/>
        <v>92.3073075404758</v>
      </c>
    </row>
    <row r="58" spans="17:46">
      <c r="Q58">
        <v>51</v>
      </c>
      <c r="R58" s="105">
        <f t="shared" si="0"/>
        <v>10</v>
      </c>
      <c r="S58" s="106">
        <f t="shared" si="34"/>
        <v>0.68</v>
      </c>
      <c r="T58" s="106">
        <f t="shared" si="2"/>
        <v>4</v>
      </c>
      <c r="U58" s="107">
        <f t="shared" si="35"/>
        <v>1.7</v>
      </c>
      <c r="V58" s="105">
        <f t="shared" si="36"/>
        <v>2</v>
      </c>
      <c r="W58" s="106">
        <f t="shared" si="37"/>
        <v>0.714285714285714</v>
      </c>
      <c r="X58" s="107">
        <f t="shared" si="38"/>
        <v>0.285714285714286</v>
      </c>
      <c r="Y58" s="105">
        <f t="shared" si="18"/>
        <v>0.868432479374729</v>
      </c>
      <c r="Z58" s="106">
        <f t="shared" si="33"/>
        <v>3.24843247937473</v>
      </c>
      <c r="AA58" s="106">
        <f t="shared" si="19"/>
        <v>1.71838526363252</v>
      </c>
      <c r="AB58" s="106">
        <v>0</v>
      </c>
      <c r="AC58" s="106">
        <f t="shared" si="20"/>
        <v>0.0295284791426941</v>
      </c>
      <c r="AD58" s="107">
        <f t="shared" si="21"/>
        <v>0.0295284791426941</v>
      </c>
      <c r="AE58" s="105">
        <f t="shared" si="22"/>
        <v>0.825714285714286</v>
      </c>
      <c r="AF58" s="106">
        <f t="shared" si="23"/>
        <v>1.71838526363252</v>
      </c>
      <c r="AG58" s="106">
        <f t="shared" si="39"/>
        <v>0.02509920727129</v>
      </c>
      <c r="AH58" s="106">
        <f t="shared" si="40"/>
        <v>0.201518766547202</v>
      </c>
      <c r="AI58" s="107">
        <f t="shared" si="24"/>
        <v>0.226617973818492</v>
      </c>
      <c r="AJ58" s="105">
        <f t="shared" si="25"/>
        <v>0.68</v>
      </c>
      <c r="AK58" s="106">
        <f t="shared" si="26"/>
        <v>1.51021861785348</v>
      </c>
      <c r="AL58" s="106">
        <f t="shared" si="27"/>
        <v>0.221</v>
      </c>
      <c r="AM58" s="106">
        <f t="shared" si="41"/>
        <v>0</v>
      </c>
      <c r="AN58" s="107">
        <f t="shared" si="28"/>
        <v>0.221</v>
      </c>
      <c r="AO58" s="105">
        <f t="shared" si="42"/>
        <v>0.0295284791426941</v>
      </c>
      <c r="AP58" s="106">
        <f t="shared" si="16"/>
        <v>0.0756</v>
      </c>
      <c r="AQ58" s="107">
        <f t="shared" si="29"/>
        <v>0.0132</v>
      </c>
      <c r="AR58" s="105">
        <f t="shared" si="30"/>
        <v>0.565946452961186</v>
      </c>
      <c r="AS58" s="106">
        <f t="shared" si="31"/>
        <v>6.8</v>
      </c>
      <c r="AT58" s="107">
        <f t="shared" si="32"/>
        <v>92.3167177962084</v>
      </c>
    </row>
    <row r="59" spans="17:46">
      <c r="Q59">
        <v>52</v>
      </c>
      <c r="R59" s="105">
        <f t="shared" si="0"/>
        <v>10</v>
      </c>
      <c r="S59" s="106">
        <f t="shared" si="34"/>
        <v>0.693333333333333</v>
      </c>
      <c r="T59" s="106">
        <f t="shared" si="2"/>
        <v>4</v>
      </c>
      <c r="U59" s="107">
        <f t="shared" si="35"/>
        <v>1.73333333333333</v>
      </c>
      <c r="V59" s="105">
        <f t="shared" si="36"/>
        <v>2</v>
      </c>
      <c r="W59" s="106">
        <f t="shared" si="37"/>
        <v>0.714285714285714</v>
      </c>
      <c r="X59" s="107">
        <f t="shared" si="38"/>
        <v>0.285714285714286</v>
      </c>
      <c r="Y59" s="105">
        <f t="shared" si="18"/>
        <v>0.868432479374729</v>
      </c>
      <c r="Z59" s="106">
        <f t="shared" si="33"/>
        <v>3.2950991460414</v>
      </c>
      <c r="AA59" s="106">
        <f t="shared" si="19"/>
        <v>1.75136871009901</v>
      </c>
      <c r="AB59" s="106">
        <v>0</v>
      </c>
      <c r="AC59" s="106">
        <f t="shared" si="20"/>
        <v>0.0306729235871386</v>
      </c>
      <c r="AD59" s="107">
        <f t="shared" si="21"/>
        <v>0.0306729235871386</v>
      </c>
      <c r="AE59" s="105">
        <f t="shared" si="22"/>
        <v>0.858412698412699</v>
      </c>
      <c r="AF59" s="106">
        <f t="shared" si="23"/>
        <v>1.75136871009901</v>
      </c>
      <c r="AG59" s="106">
        <f t="shared" si="39"/>
        <v>0.0260719850490678</v>
      </c>
      <c r="AH59" s="106">
        <f t="shared" si="40"/>
        <v>0.205470114910873</v>
      </c>
      <c r="AI59" s="107">
        <f t="shared" si="24"/>
        <v>0.231542099959941</v>
      </c>
      <c r="AJ59" s="105">
        <f t="shared" si="25"/>
        <v>0.693333333333333</v>
      </c>
      <c r="AK59" s="106">
        <f t="shared" si="26"/>
        <v>1.5350662077986</v>
      </c>
      <c r="AL59" s="106">
        <f t="shared" si="27"/>
        <v>0.225333333333333</v>
      </c>
      <c r="AM59" s="106">
        <f t="shared" si="41"/>
        <v>0</v>
      </c>
      <c r="AN59" s="107">
        <f t="shared" si="28"/>
        <v>0.225333333333333</v>
      </c>
      <c r="AO59" s="105">
        <f t="shared" si="42"/>
        <v>0.0306729235871386</v>
      </c>
      <c r="AP59" s="106">
        <f t="shared" si="16"/>
        <v>0.0756</v>
      </c>
      <c r="AQ59" s="107">
        <f t="shared" si="29"/>
        <v>0.0132</v>
      </c>
      <c r="AR59" s="105">
        <f t="shared" si="30"/>
        <v>0.576348356880413</v>
      </c>
      <c r="AS59" s="106">
        <f t="shared" si="31"/>
        <v>6.93333333333333</v>
      </c>
      <c r="AT59" s="107">
        <f t="shared" si="32"/>
        <v>92.3252624990553</v>
      </c>
    </row>
    <row r="60" spans="17:46">
      <c r="Q60">
        <v>53</v>
      </c>
      <c r="R60" s="105">
        <f t="shared" si="0"/>
        <v>10</v>
      </c>
      <c r="S60" s="106">
        <f t="shared" si="34"/>
        <v>0.706666666666667</v>
      </c>
      <c r="T60" s="106">
        <f t="shared" si="2"/>
        <v>4</v>
      </c>
      <c r="U60" s="107">
        <f t="shared" si="35"/>
        <v>1.76666666666667</v>
      </c>
      <c r="V60" s="105">
        <f t="shared" si="36"/>
        <v>2</v>
      </c>
      <c r="W60" s="106">
        <f t="shared" si="37"/>
        <v>0.714285714285714</v>
      </c>
      <c r="X60" s="107">
        <f t="shared" si="38"/>
        <v>0.285714285714286</v>
      </c>
      <c r="Y60" s="105">
        <f t="shared" si="18"/>
        <v>0.868432479374729</v>
      </c>
      <c r="Z60" s="106">
        <f t="shared" si="33"/>
        <v>3.34176581270806</v>
      </c>
      <c r="AA60" s="106">
        <f t="shared" si="19"/>
        <v>1.78436516032468</v>
      </c>
      <c r="AB60" s="106">
        <v>0</v>
      </c>
      <c r="AC60" s="106">
        <f t="shared" si="20"/>
        <v>0.0318395902538052</v>
      </c>
      <c r="AD60" s="107">
        <f t="shared" si="21"/>
        <v>0.0318395902538052</v>
      </c>
      <c r="AE60" s="105">
        <f t="shared" si="22"/>
        <v>0.891746031746032</v>
      </c>
      <c r="AF60" s="106">
        <f t="shared" si="23"/>
        <v>1.78436516032468</v>
      </c>
      <c r="AG60" s="106">
        <f t="shared" si="39"/>
        <v>0.0270636517157344</v>
      </c>
      <c r="AH60" s="106">
        <f t="shared" si="40"/>
        <v>0.209421463274543</v>
      </c>
      <c r="AI60" s="107">
        <f t="shared" si="24"/>
        <v>0.236485114990278</v>
      </c>
      <c r="AJ60" s="105">
        <f t="shared" si="25"/>
        <v>0.706666666666667</v>
      </c>
      <c r="AK60" s="106">
        <f t="shared" si="26"/>
        <v>1.55991688733198</v>
      </c>
      <c r="AL60" s="106">
        <f t="shared" si="27"/>
        <v>0.229666666666667</v>
      </c>
      <c r="AM60" s="106">
        <f t="shared" si="41"/>
        <v>0</v>
      </c>
      <c r="AN60" s="107">
        <f t="shared" si="28"/>
        <v>0.229666666666667</v>
      </c>
      <c r="AO60" s="105">
        <f t="shared" si="42"/>
        <v>0.0318395902538052</v>
      </c>
      <c r="AP60" s="106">
        <f t="shared" si="16"/>
        <v>0.0756</v>
      </c>
      <c r="AQ60" s="107">
        <f t="shared" si="29"/>
        <v>0.0132</v>
      </c>
      <c r="AR60" s="105">
        <f t="shared" si="30"/>
        <v>0.58679137191075</v>
      </c>
      <c r="AS60" s="106">
        <f t="shared" si="31"/>
        <v>7.06666666666667</v>
      </c>
      <c r="AT60" s="107">
        <f t="shared" si="32"/>
        <v>92.3329902776887</v>
      </c>
    </row>
    <row r="61" spans="17:46">
      <c r="Q61">
        <v>54</v>
      </c>
      <c r="R61" s="105">
        <f t="shared" si="0"/>
        <v>10</v>
      </c>
      <c r="S61" s="106">
        <f t="shared" si="34"/>
        <v>0.72</v>
      </c>
      <c r="T61" s="106">
        <f t="shared" si="2"/>
        <v>4</v>
      </c>
      <c r="U61" s="107">
        <f t="shared" si="35"/>
        <v>1.8</v>
      </c>
      <c r="V61" s="105">
        <f t="shared" si="36"/>
        <v>2</v>
      </c>
      <c r="W61" s="106">
        <f t="shared" si="37"/>
        <v>0.714285714285714</v>
      </c>
      <c r="X61" s="107">
        <f t="shared" si="38"/>
        <v>0.285714285714286</v>
      </c>
      <c r="Y61" s="105">
        <f t="shared" si="18"/>
        <v>0.868432479374729</v>
      </c>
      <c r="Z61" s="106">
        <f t="shared" si="33"/>
        <v>3.38843247937473</v>
      </c>
      <c r="AA61" s="106">
        <f t="shared" si="19"/>
        <v>1.81737390601643</v>
      </c>
      <c r="AB61" s="106">
        <v>0</v>
      </c>
      <c r="AC61" s="106">
        <f t="shared" si="20"/>
        <v>0.0330284791426941</v>
      </c>
      <c r="AD61" s="107">
        <f t="shared" si="21"/>
        <v>0.0330284791426941</v>
      </c>
      <c r="AE61" s="105">
        <f t="shared" si="22"/>
        <v>0.925714285714286</v>
      </c>
      <c r="AF61" s="106">
        <f t="shared" si="23"/>
        <v>1.81737390601643</v>
      </c>
      <c r="AG61" s="106">
        <f t="shared" si="39"/>
        <v>0.02807420727129</v>
      </c>
      <c r="AH61" s="106">
        <f t="shared" si="40"/>
        <v>0.213372811638214</v>
      </c>
      <c r="AI61" s="107">
        <f t="shared" si="24"/>
        <v>0.241447018909504</v>
      </c>
      <c r="AJ61" s="105">
        <f t="shared" si="25"/>
        <v>0.72</v>
      </c>
      <c r="AK61" s="106">
        <f t="shared" si="26"/>
        <v>1.58477051111077</v>
      </c>
      <c r="AL61" s="106">
        <f t="shared" si="27"/>
        <v>0.234</v>
      </c>
      <c r="AM61" s="106">
        <f t="shared" si="41"/>
        <v>0</v>
      </c>
      <c r="AN61" s="107">
        <f t="shared" si="28"/>
        <v>0.234</v>
      </c>
      <c r="AO61" s="105">
        <f t="shared" si="42"/>
        <v>0.0330284791426941</v>
      </c>
      <c r="AP61" s="106">
        <f t="shared" si="16"/>
        <v>0.0756</v>
      </c>
      <c r="AQ61" s="107">
        <f t="shared" si="29"/>
        <v>0.0132</v>
      </c>
      <c r="AR61" s="105">
        <f t="shared" si="30"/>
        <v>0.597275498052198</v>
      </c>
      <c r="AS61" s="106">
        <f t="shared" si="31"/>
        <v>7.2</v>
      </c>
      <c r="AT61" s="107">
        <f t="shared" si="32"/>
        <v>92.3399462004209</v>
      </c>
    </row>
    <row r="62" spans="17:46">
      <c r="Q62">
        <v>55</v>
      </c>
      <c r="R62" s="105">
        <f t="shared" si="0"/>
        <v>10</v>
      </c>
      <c r="S62" s="106">
        <f t="shared" si="34"/>
        <v>0.733333333333333</v>
      </c>
      <c r="T62" s="106">
        <f t="shared" si="2"/>
        <v>4</v>
      </c>
      <c r="U62" s="107">
        <f t="shared" si="35"/>
        <v>1.83333333333333</v>
      </c>
      <c r="V62" s="105">
        <f t="shared" si="36"/>
        <v>2</v>
      </c>
      <c r="W62" s="106">
        <f t="shared" si="37"/>
        <v>0.714285714285714</v>
      </c>
      <c r="X62" s="107">
        <f t="shared" si="38"/>
        <v>0.285714285714286</v>
      </c>
      <c r="Y62" s="105">
        <f t="shared" si="18"/>
        <v>0.868432479374729</v>
      </c>
      <c r="Z62" s="106">
        <f t="shared" si="33"/>
        <v>3.4350991460414</v>
      </c>
      <c r="AA62" s="106">
        <f t="shared" si="19"/>
        <v>1.85039428916664</v>
      </c>
      <c r="AB62" s="106">
        <v>0</v>
      </c>
      <c r="AC62" s="106">
        <f t="shared" si="20"/>
        <v>0.0342395902538052</v>
      </c>
      <c r="AD62" s="107">
        <f t="shared" si="21"/>
        <v>0.0342395902538052</v>
      </c>
      <c r="AE62" s="105">
        <f t="shared" si="22"/>
        <v>0.96031746031746</v>
      </c>
      <c r="AF62" s="106">
        <f t="shared" si="23"/>
        <v>1.85039428916664</v>
      </c>
      <c r="AG62" s="106">
        <f t="shared" si="39"/>
        <v>0.0291036517157345</v>
      </c>
      <c r="AH62" s="106">
        <f t="shared" si="40"/>
        <v>0.217324160001885</v>
      </c>
      <c r="AI62" s="107">
        <f t="shared" si="24"/>
        <v>0.246427811717619</v>
      </c>
      <c r="AJ62" s="105">
        <f t="shared" si="25"/>
        <v>0.733333333333333</v>
      </c>
      <c r="AK62" s="106">
        <f t="shared" si="26"/>
        <v>1.60962694275211</v>
      </c>
      <c r="AL62" s="106">
        <f t="shared" si="27"/>
        <v>0.238333333333333</v>
      </c>
      <c r="AM62" s="106">
        <f t="shared" si="41"/>
        <v>0</v>
      </c>
      <c r="AN62" s="107">
        <f t="shared" si="28"/>
        <v>0.238333333333333</v>
      </c>
      <c r="AO62" s="105">
        <f t="shared" si="42"/>
        <v>0.0342395902538052</v>
      </c>
      <c r="AP62" s="106">
        <f t="shared" si="16"/>
        <v>0.0756</v>
      </c>
      <c r="AQ62" s="107">
        <f t="shared" si="29"/>
        <v>0.0132</v>
      </c>
      <c r="AR62" s="105">
        <f t="shared" si="30"/>
        <v>0.607800735304758</v>
      </c>
      <c r="AS62" s="106">
        <f t="shared" si="31"/>
        <v>7.33333333333333</v>
      </c>
      <c r="AT62" s="107">
        <f t="shared" si="32"/>
        <v>92.3461720951779</v>
      </c>
    </row>
    <row r="63" spans="17:46">
      <c r="Q63">
        <v>56</v>
      </c>
      <c r="R63" s="105">
        <f t="shared" si="0"/>
        <v>10</v>
      </c>
      <c r="S63" s="106">
        <f t="shared" si="34"/>
        <v>0.746666666666667</v>
      </c>
      <c r="T63" s="106">
        <f t="shared" si="2"/>
        <v>4</v>
      </c>
      <c r="U63" s="107">
        <f t="shared" si="35"/>
        <v>1.86666666666667</v>
      </c>
      <c r="V63" s="105">
        <f t="shared" si="36"/>
        <v>2</v>
      </c>
      <c r="W63" s="106">
        <f t="shared" si="37"/>
        <v>0.714285714285714</v>
      </c>
      <c r="X63" s="107">
        <f t="shared" si="38"/>
        <v>0.285714285714286</v>
      </c>
      <c r="Y63" s="105">
        <f t="shared" si="18"/>
        <v>0.868432479374729</v>
      </c>
      <c r="Z63" s="106">
        <f t="shared" si="33"/>
        <v>3.48176581270806</v>
      </c>
      <c r="AA63" s="106">
        <f t="shared" si="19"/>
        <v>1.88342569768862</v>
      </c>
      <c r="AB63" s="106">
        <v>0</v>
      </c>
      <c r="AC63" s="106">
        <f t="shared" si="20"/>
        <v>0.0354729235871386</v>
      </c>
      <c r="AD63" s="107">
        <f t="shared" si="21"/>
        <v>0.0354729235871386</v>
      </c>
      <c r="AE63" s="105">
        <f t="shared" si="22"/>
        <v>0.995555555555556</v>
      </c>
      <c r="AF63" s="106">
        <f t="shared" si="23"/>
        <v>1.88342569768862</v>
      </c>
      <c r="AG63" s="106">
        <f t="shared" si="39"/>
        <v>0.0301519850490678</v>
      </c>
      <c r="AH63" s="106">
        <f t="shared" si="40"/>
        <v>0.221275508365555</v>
      </c>
      <c r="AI63" s="107">
        <f t="shared" si="24"/>
        <v>0.251427493414623</v>
      </c>
      <c r="AJ63" s="105">
        <f t="shared" si="25"/>
        <v>0.746666666666667</v>
      </c>
      <c r="AK63" s="106">
        <f t="shared" si="26"/>
        <v>1.63448605415438</v>
      </c>
      <c r="AL63" s="106">
        <f t="shared" si="27"/>
        <v>0.242666666666667</v>
      </c>
      <c r="AM63" s="106">
        <f t="shared" si="41"/>
        <v>0</v>
      </c>
      <c r="AN63" s="107">
        <f t="shared" si="28"/>
        <v>0.242666666666667</v>
      </c>
      <c r="AO63" s="105">
        <f t="shared" si="42"/>
        <v>0.0354729235871386</v>
      </c>
      <c r="AP63" s="106">
        <f t="shared" si="16"/>
        <v>0.0756</v>
      </c>
      <c r="AQ63" s="107">
        <f t="shared" si="29"/>
        <v>0.0132</v>
      </c>
      <c r="AR63" s="105">
        <f t="shared" si="30"/>
        <v>0.618367083668428</v>
      </c>
      <c r="AS63" s="106">
        <f t="shared" si="31"/>
        <v>7.46666666666667</v>
      </c>
      <c r="AT63" s="107">
        <f t="shared" si="32"/>
        <v>92.3517068355738</v>
      </c>
    </row>
    <row r="64" spans="17:46">
      <c r="Q64">
        <v>57</v>
      </c>
      <c r="R64" s="105">
        <f t="shared" si="0"/>
        <v>10</v>
      </c>
      <c r="S64" s="106">
        <f t="shared" si="34"/>
        <v>0.76</v>
      </c>
      <c r="T64" s="106">
        <f t="shared" si="2"/>
        <v>4</v>
      </c>
      <c r="U64" s="107">
        <f t="shared" si="35"/>
        <v>1.9</v>
      </c>
      <c r="V64" s="105">
        <f t="shared" si="36"/>
        <v>2</v>
      </c>
      <c r="W64" s="106">
        <f t="shared" si="37"/>
        <v>0.714285714285714</v>
      </c>
      <c r="X64" s="107">
        <f t="shared" si="38"/>
        <v>0.285714285714286</v>
      </c>
      <c r="Y64" s="105">
        <f t="shared" si="18"/>
        <v>0.868432479374729</v>
      </c>
      <c r="Z64" s="106">
        <f t="shared" si="33"/>
        <v>3.52843247937473</v>
      </c>
      <c r="AA64" s="106">
        <f t="shared" si="19"/>
        <v>1.91646756149678</v>
      </c>
      <c r="AB64" s="106">
        <v>0</v>
      </c>
      <c r="AC64" s="106">
        <f t="shared" si="20"/>
        <v>0.0367284791426941</v>
      </c>
      <c r="AD64" s="107">
        <f t="shared" si="21"/>
        <v>0.0367284791426941</v>
      </c>
      <c r="AE64" s="105">
        <f t="shared" si="22"/>
        <v>1.03142857142857</v>
      </c>
      <c r="AF64" s="106">
        <f t="shared" si="23"/>
        <v>1.91646756149678</v>
      </c>
      <c r="AG64" s="106">
        <f t="shared" si="39"/>
        <v>0.03121920727129</v>
      </c>
      <c r="AH64" s="106">
        <f t="shared" si="40"/>
        <v>0.225226856729226</v>
      </c>
      <c r="AI64" s="107">
        <f t="shared" si="24"/>
        <v>0.256446064000516</v>
      </c>
      <c r="AJ64" s="105">
        <f t="shared" si="25"/>
        <v>0.76</v>
      </c>
      <c r="AK64" s="106">
        <f t="shared" si="26"/>
        <v>1.65934772487905</v>
      </c>
      <c r="AL64" s="106">
        <f t="shared" si="27"/>
        <v>0.247</v>
      </c>
      <c r="AM64" s="106">
        <f t="shared" si="41"/>
        <v>0</v>
      </c>
      <c r="AN64" s="107">
        <f t="shared" si="28"/>
        <v>0.247</v>
      </c>
      <c r="AO64" s="105">
        <f t="shared" si="42"/>
        <v>0.0367284791426941</v>
      </c>
      <c r="AP64" s="106">
        <f t="shared" si="16"/>
        <v>0.0756</v>
      </c>
      <c r="AQ64" s="107">
        <f t="shared" si="29"/>
        <v>0.0132</v>
      </c>
      <c r="AR64" s="105">
        <f t="shared" si="30"/>
        <v>0.62897454314321</v>
      </c>
      <c r="AS64" s="106">
        <f t="shared" si="31"/>
        <v>7.6</v>
      </c>
      <c r="AT64" s="107">
        <f t="shared" si="32"/>
        <v>92.3565865972048</v>
      </c>
    </row>
    <row r="65" spans="17:46">
      <c r="Q65">
        <v>58</v>
      </c>
      <c r="R65" s="105">
        <f t="shared" si="0"/>
        <v>10</v>
      </c>
      <c r="S65" s="106">
        <f t="shared" si="34"/>
        <v>0.773333333333333</v>
      </c>
      <c r="T65" s="106">
        <f t="shared" si="2"/>
        <v>4</v>
      </c>
      <c r="U65" s="107">
        <f t="shared" si="35"/>
        <v>1.93333333333333</v>
      </c>
      <c r="V65" s="105">
        <f t="shared" si="36"/>
        <v>2</v>
      </c>
      <c r="W65" s="106">
        <f t="shared" si="37"/>
        <v>0.714285714285714</v>
      </c>
      <c r="X65" s="107">
        <f t="shared" si="38"/>
        <v>0.285714285714286</v>
      </c>
      <c r="Y65" s="105">
        <f t="shared" si="18"/>
        <v>0.868432479374729</v>
      </c>
      <c r="Z65" s="106">
        <f t="shared" si="33"/>
        <v>3.5750991460414</v>
      </c>
      <c r="AA65" s="106">
        <f t="shared" si="19"/>
        <v>1.94951934897995</v>
      </c>
      <c r="AB65" s="106">
        <v>0</v>
      </c>
      <c r="AC65" s="106">
        <f t="shared" si="20"/>
        <v>0.0380062569204719</v>
      </c>
      <c r="AD65" s="107">
        <f t="shared" si="21"/>
        <v>0.0380062569204719</v>
      </c>
      <c r="AE65" s="105">
        <f t="shared" si="22"/>
        <v>1.06793650793651</v>
      </c>
      <c r="AF65" s="106">
        <f t="shared" si="23"/>
        <v>1.94951934897995</v>
      </c>
      <c r="AG65" s="106">
        <f t="shared" si="39"/>
        <v>0.0323053183824011</v>
      </c>
      <c r="AH65" s="106">
        <f t="shared" si="40"/>
        <v>0.229178205092897</v>
      </c>
      <c r="AI65" s="107">
        <f t="shared" si="24"/>
        <v>0.261483523475298</v>
      </c>
      <c r="AJ65" s="105">
        <f t="shared" si="25"/>
        <v>0.773333333333333</v>
      </c>
      <c r="AK65" s="106">
        <f t="shared" si="26"/>
        <v>1.68421184158698</v>
      </c>
      <c r="AL65" s="106">
        <f t="shared" si="27"/>
        <v>0.251333333333333</v>
      </c>
      <c r="AM65" s="106">
        <f t="shared" si="41"/>
        <v>0</v>
      </c>
      <c r="AN65" s="107">
        <f t="shared" si="28"/>
        <v>0.251333333333333</v>
      </c>
      <c r="AO65" s="105">
        <f t="shared" si="42"/>
        <v>0.0380062569204719</v>
      </c>
      <c r="AP65" s="106">
        <f t="shared" si="16"/>
        <v>0.0756</v>
      </c>
      <c r="AQ65" s="107">
        <f t="shared" si="29"/>
        <v>0.0132</v>
      </c>
      <c r="AR65" s="105">
        <f t="shared" si="30"/>
        <v>0.639623113729103</v>
      </c>
      <c r="AS65" s="106">
        <f t="shared" si="31"/>
        <v>7.73333333333333</v>
      </c>
      <c r="AT65" s="107">
        <f t="shared" si="32"/>
        <v>92.3608450877168</v>
      </c>
    </row>
    <row r="66" spans="17:46">
      <c r="Q66">
        <v>59</v>
      </c>
      <c r="R66" s="105">
        <f t="shared" si="0"/>
        <v>10</v>
      </c>
      <c r="S66" s="106">
        <f t="shared" si="34"/>
        <v>0.786666666666667</v>
      </c>
      <c r="T66" s="106">
        <f t="shared" si="2"/>
        <v>4</v>
      </c>
      <c r="U66" s="107">
        <f t="shared" si="35"/>
        <v>1.96666666666667</v>
      </c>
      <c r="V66" s="105">
        <f t="shared" si="36"/>
        <v>2</v>
      </c>
      <c r="W66" s="106">
        <f t="shared" si="37"/>
        <v>0.714285714285714</v>
      </c>
      <c r="X66" s="107">
        <f t="shared" si="38"/>
        <v>0.285714285714286</v>
      </c>
      <c r="Y66" s="105">
        <f t="shared" si="18"/>
        <v>0.868432479374729</v>
      </c>
      <c r="Z66" s="106">
        <f t="shared" si="33"/>
        <v>3.62176581270806</v>
      </c>
      <c r="AA66" s="106">
        <f t="shared" si="19"/>
        <v>1.98258056382261</v>
      </c>
      <c r="AB66" s="106">
        <v>0</v>
      </c>
      <c r="AC66" s="106">
        <f t="shared" si="20"/>
        <v>0.0393062569204719</v>
      </c>
      <c r="AD66" s="107">
        <f t="shared" si="21"/>
        <v>0.0393062569204719</v>
      </c>
      <c r="AE66" s="105">
        <f t="shared" si="22"/>
        <v>1.10507936507937</v>
      </c>
      <c r="AF66" s="106">
        <f t="shared" si="23"/>
        <v>1.98258056382261</v>
      </c>
      <c r="AG66" s="106">
        <f t="shared" si="39"/>
        <v>0.0334103183824011</v>
      </c>
      <c r="AH66" s="106">
        <f t="shared" si="40"/>
        <v>0.233129553456567</v>
      </c>
      <c r="AI66" s="107">
        <f t="shared" si="24"/>
        <v>0.266539871838968</v>
      </c>
      <c r="AJ66" s="105">
        <f t="shared" si="25"/>
        <v>0.786666666666667</v>
      </c>
      <c r="AK66" s="106">
        <f t="shared" si="26"/>
        <v>1.70907829752379</v>
      </c>
      <c r="AL66" s="106">
        <f t="shared" si="27"/>
        <v>0.255666666666667</v>
      </c>
      <c r="AM66" s="106">
        <f t="shared" si="41"/>
        <v>0</v>
      </c>
      <c r="AN66" s="107">
        <f t="shared" si="28"/>
        <v>0.255666666666667</v>
      </c>
      <c r="AO66" s="105">
        <f t="shared" si="42"/>
        <v>0.0393062569204719</v>
      </c>
      <c r="AP66" s="106">
        <f t="shared" si="16"/>
        <v>0.0756</v>
      </c>
      <c r="AQ66" s="107">
        <f t="shared" si="29"/>
        <v>0.0132</v>
      </c>
      <c r="AR66" s="105">
        <f t="shared" si="30"/>
        <v>0.650312795426107</v>
      </c>
      <c r="AS66" s="106">
        <f t="shared" si="31"/>
        <v>7.86666666666667</v>
      </c>
      <c r="AT66" s="107">
        <f t="shared" si="32"/>
        <v>92.3645137537256</v>
      </c>
    </row>
    <row r="67" spans="17:46">
      <c r="Q67">
        <v>60</v>
      </c>
      <c r="R67" s="105">
        <f t="shared" si="0"/>
        <v>10</v>
      </c>
      <c r="S67" s="106">
        <f t="shared" si="34"/>
        <v>0.8</v>
      </c>
      <c r="T67" s="106">
        <f t="shared" si="2"/>
        <v>4</v>
      </c>
      <c r="U67" s="107">
        <f t="shared" si="35"/>
        <v>2</v>
      </c>
      <c r="V67" s="105">
        <f t="shared" si="36"/>
        <v>2</v>
      </c>
      <c r="W67" s="106">
        <f t="shared" si="37"/>
        <v>0.714285714285714</v>
      </c>
      <c r="X67" s="107">
        <f t="shared" si="38"/>
        <v>0.285714285714286</v>
      </c>
      <c r="Y67" s="105">
        <f t="shared" si="18"/>
        <v>0.868432479374729</v>
      </c>
      <c r="Z67" s="106">
        <f t="shared" si="33"/>
        <v>3.66843247937473</v>
      </c>
      <c r="AA67" s="106">
        <f t="shared" si="19"/>
        <v>2.01565074213501</v>
      </c>
      <c r="AB67" s="106">
        <v>0</v>
      </c>
      <c r="AC67" s="106">
        <f t="shared" si="20"/>
        <v>0.0406284791426941</v>
      </c>
      <c r="AD67" s="107">
        <f t="shared" si="21"/>
        <v>0.0406284791426941</v>
      </c>
      <c r="AE67" s="105">
        <f t="shared" si="22"/>
        <v>1.14285714285714</v>
      </c>
      <c r="AF67" s="106">
        <f t="shared" si="23"/>
        <v>2.01565074213501</v>
      </c>
      <c r="AG67" s="106">
        <f t="shared" si="39"/>
        <v>0.03453420727129</v>
      </c>
      <c r="AH67" s="106">
        <f t="shared" si="40"/>
        <v>0.237080901820238</v>
      </c>
      <c r="AI67" s="107">
        <f t="shared" si="24"/>
        <v>0.271615109091528</v>
      </c>
      <c r="AJ67" s="105">
        <f t="shared" si="25"/>
        <v>0.8</v>
      </c>
      <c r="AK67" s="106">
        <f t="shared" si="26"/>
        <v>1.73394699204914</v>
      </c>
      <c r="AL67" s="106">
        <f t="shared" si="27"/>
        <v>0.26</v>
      </c>
      <c r="AM67" s="106">
        <f t="shared" si="41"/>
        <v>0</v>
      </c>
      <c r="AN67" s="107">
        <f t="shared" si="28"/>
        <v>0.26</v>
      </c>
      <c r="AO67" s="105">
        <f t="shared" si="42"/>
        <v>0.0406284791426941</v>
      </c>
      <c r="AP67" s="106">
        <f t="shared" si="16"/>
        <v>0.0756</v>
      </c>
      <c r="AQ67" s="107">
        <f t="shared" si="29"/>
        <v>0.0132</v>
      </c>
      <c r="AR67" s="105">
        <f t="shared" si="30"/>
        <v>0.661043588234222</v>
      </c>
      <c r="AS67" s="106">
        <f t="shared" si="31"/>
        <v>8</v>
      </c>
      <c r="AT67" s="107">
        <f t="shared" si="32"/>
        <v>92.3676219672624</v>
      </c>
    </row>
    <row r="68" spans="17:46">
      <c r="Q68">
        <v>61</v>
      </c>
      <c r="R68" s="105">
        <f t="shared" si="0"/>
        <v>10</v>
      </c>
      <c r="S68" s="106">
        <f t="shared" si="34"/>
        <v>0.813333333333333</v>
      </c>
      <c r="T68" s="106">
        <f t="shared" si="2"/>
        <v>4</v>
      </c>
      <c r="U68" s="107">
        <f t="shared" si="35"/>
        <v>2.03333333333333</v>
      </c>
      <c r="V68" s="105">
        <f t="shared" si="36"/>
        <v>2</v>
      </c>
      <c r="W68" s="106">
        <f t="shared" si="37"/>
        <v>0.714285714285714</v>
      </c>
      <c r="X68" s="107">
        <f t="shared" si="38"/>
        <v>0.285714285714286</v>
      </c>
      <c r="Y68" s="105">
        <f t="shared" si="18"/>
        <v>0.868432479374729</v>
      </c>
      <c r="Z68" s="106">
        <f t="shared" si="33"/>
        <v>3.7150991460414</v>
      </c>
      <c r="AA68" s="106">
        <f t="shared" si="19"/>
        <v>2.04872944985761</v>
      </c>
      <c r="AB68" s="106">
        <v>0</v>
      </c>
      <c r="AC68" s="106">
        <f t="shared" si="20"/>
        <v>0.0419729235871386</v>
      </c>
      <c r="AD68" s="107">
        <f t="shared" si="21"/>
        <v>0.0419729235871386</v>
      </c>
      <c r="AE68" s="105">
        <f t="shared" si="22"/>
        <v>1.18126984126984</v>
      </c>
      <c r="AF68" s="106">
        <f t="shared" si="23"/>
        <v>2.04872944985761</v>
      </c>
      <c r="AG68" s="106">
        <f t="shared" si="39"/>
        <v>0.0356769850490678</v>
      </c>
      <c r="AH68" s="106">
        <f t="shared" si="40"/>
        <v>0.241032250183909</v>
      </c>
      <c r="AI68" s="107">
        <f t="shared" si="24"/>
        <v>0.276709235232976</v>
      </c>
      <c r="AJ68" s="105">
        <f t="shared" si="25"/>
        <v>0.813333333333333</v>
      </c>
      <c r="AK68" s="106">
        <f t="shared" si="26"/>
        <v>1.75881783020589</v>
      </c>
      <c r="AL68" s="106">
        <f t="shared" si="27"/>
        <v>0.264333333333333</v>
      </c>
      <c r="AM68" s="106">
        <f t="shared" si="41"/>
        <v>0</v>
      </c>
      <c r="AN68" s="107">
        <f t="shared" si="28"/>
        <v>0.264333333333333</v>
      </c>
      <c r="AO68" s="105">
        <f t="shared" si="42"/>
        <v>0.0419729235871386</v>
      </c>
      <c r="AP68" s="106">
        <f t="shared" si="16"/>
        <v>0.0756</v>
      </c>
      <c r="AQ68" s="107">
        <f t="shared" si="29"/>
        <v>0.0132</v>
      </c>
      <c r="AR68" s="105">
        <f t="shared" si="30"/>
        <v>0.671815492153448</v>
      </c>
      <c r="AS68" s="106">
        <f t="shared" si="31"/>
        <v>8.13333333333333</v>
      </c>
      <c r="AT68" s="107">
        <f t="shared" si="32"/>
        <v>92.3701971940683</v>
      </c>
    </row>
    <row r="69" spans="17:46">
      <c r="Q69">
        <v>62</v>
      </c>
      <c r="R69" s="105">
        <f t="shared" si="0"/>
        <v>10</v>
      </c>
      <c r="S69" s="106">
        <f t="shared" si="34"/>
        <v>0.826666666666667</v>
      </c>
      <c r="T69" s="106">
        <f t="shared" si="2"/>
        <v>4</v>
      </c>
      <c r="U69" s="107">
        <f t="shared" si="35"/>
        <v>2.06666666666667</v>
      </c>
      <c r="V69" s="105">
        <f t="shared" si="36"/>
        <v>2</v>
      </c>
      <c r="W69" s="106">
        <f t="shared" si="37"/>
        <v>0.714285714285714</v>
      </c>
      <c r="X69" s="107">
        <f t="shared" si="38"/>
        <v>0.285714285714286</v>
      </c>
      <c r="Y69" s="105">
        <f t="shared" si="18"/>
        <v>0.868432479374729</v>
      </c>
      <c r="Z69" s="106">
        <f t="shared" si="33"/>
        <v>3.76176581270806</v>
      </c>
      <c r="AA69" s="106">
        <f t="shared" si="19"/>
        <v>2.08181628041009</v>
      </c>
      <c r="AB69" s="106">
        <v>0</v>
      </c>
      <c r="AC69" s="106">
        <f t="shared" si="20"/>
        <v>0.0433395902538052</v>
      </c>
      <c r="AD69" s="107">
        <f t="shared" si="21"/>
        <v>0.0433395902538052</v>
      </c>
      <c r="AE69" s="105">
        <f t="shared" si="22"/>
        <v>1.22031746031746</v>
      </c>
      <c r="AF69" s="106">
        <f t="shared" si="23"/>
        <v>2.08181628041009</v>
      </c>
      <c r="AG69" s="106">
        <f t="shared" si="39"/>
        <v>0.0368386517157345</v>
      </c>
      <c r="AH69" s="106">
        <f t="shared" si="40"/>
        <v>0.244983598547579</v>
      </c>
      <c r="AI69" s="107">
        <f t="shared" si="24"/>
        <v>0.281822250263314</v>
      </c>
      <c r="AJ69" s="105">
        <f t="shared" si="25"/>
        <v>0.826666666666667</v>
      </c>
      <c r="AK69" s="106">
        <f t="shared" si="26"/>
        <v>1.78369072232505</v>
      </c>
      <c r="AL69" s="106">
        <f t="shared" si="27"/>
        <v>0.268666666666667</v>
      </c>
      <c r="AM69" s="106">
        <f t="shared" si="41"/>
        <v>0</v>
      </c>
      <c r="AN69" s="107">
        <f t="shared" si="28"/>
        <v>0.268666666666667</v>
      </c>
      <c r="AO69" s="105">
        <f t="shared" si="42"/>
        <v>0.0433395902538052</v>
      </c>
      <c r="AP69" s="106">
        <f t="shared" si="16"/>
        <v>0.0756</v>
      </c>
      <c r="AQ69" s="107">
        <f t="shared" si="29"/>
        <v>0.0132</v>
      </c>
      <c r="AR69" s="105">
        <f t="shared" si="30"/>
        <v>0.682628507183786</v>
      </c>
      <c r="AS69" s="106">
        <f t="shared" si="31"/>
        <v>8.26666666666667</v>
      </c>
      <c r="AT69" s="107">
        <f t="shared" si="32"/>
        <v>92.3722651457692</v>
      </c>
    </row>
    <row r="70" spans="17:46">
      <c r="Q70">
        <v>63</v>
      </c>
      <c r="R70" s="105">
        <f t="shared" si="0"/>
        <v>10</v>
      </c>
      <c r="S70" s="106">
        <f t="shared" si="34"/>
        <v>0.84</v>
      </c>
      <c r="T70" s="106">
        <f t="shared" si="2"/>
        <v>4</v>
      </c>
      <c r="U70" s="107">
        <f t="shared" si="35"/>
        <v>2.1</v>
      </c>
      <c r="V70" s="105">
        <f t="shared" si="36"/>
        <v>2</v>
      </c>
      <c r="W70" s="106">
        <f t="shared" si="37"/>
        <v>0.714285714285714</v>
      </c>
      <c r="X70" s="107">
        <f t="shared" si="38"/>
        <v>0.285714285714286</v>
      </c>
      <c r="Y70" s="105">
        <f t="shared" si="18"/>
        <v>0.868432479374729</v>
      </c>
      <c r="Z70" s="106">
        <f t="shared" si="33"/>
        <v>3.80843247937473</v>
      </c>
      <c r="AA70" s="106">
        <f t="shared" si="19"/>
        <v>2.11491085255843</v>
      </c>
      <c r="AB70" s="106">
        <v>0</v>
      </c>
      <c r="AC70" s="106">
        <f t="shared" si="20"/>
        <v>0.0447284791426941</v>
      </c>
      <c r="AD70" s="107">
        <f t="shared" si="21"/>
        <v>0.0447284791426941</v>
      </c>
      <c r="AE70" s="105">
        <f t="shared" si="22"/>
        <v>1.26</v>
      </c>
      <c r="AF70" s="106">
        <f t="shared" si="23"/>
        <v>2.11491085255843</v>
      </c>
      <c r="AG70" s="106">
        <f t="shared" si="39"/>
        <v>0.03801920727129</v>
      </c>
      <c r="AH70" s="106">
        <f t="shared" si="40"/>
        <v>0.24893494691125</v>
      </c>
      <c r="AI70" s="107">
        <f t="shared" si="24"/>
        <v>0.28695415418254</v>
      </c>
      <c r="AJ70" s="105">
        <f t="shared" si="25"/>
        <v>0.84</v>
      </c>
      <c r="AK70" s="106">
        <f t="shared" si="26"/>
        <v>1.80856558366326</v>
      </c>
      <c r="AL70" s="106">
        <f t="shared" si="27"/>
        <v>0.273</v>
      </c>
      <c r="AM70" s="106">
        <f t="shared" si="41"/>
        <v>0</v>
      </c>
      <c r="AN70" s="107">
        <f t="shared" si="28"/>
        <v>0.273</v>
      </c>
      <c r="AO70" s="105">
        <f t="shared" si="42"/>
        <v>0.0447284791426941</v>
      </c>
      <c r="AP70" s="106">
        <f t="shared" si="16"/>
        <v>0.0756</v>
      </c>
      <c r="AQ70" s="107">
        <f t="shared" si="29"/>
        <v>0.0132</v>
      </c>
      <c r="AR70" s="105">
        <f t="shared" si="30"/>
        <v>0.693482633325234</v>
      </c>
      <c r="AS70" s="106">
        <f t="shared" si="31"/>
        <v>8.4</v>
      </c>
      <c r="AT70" s="107">
        <f t="shared" si="32"/>
        <v>92.3738499177004</v>
      </c>
    </row>
    <row r="71" spans="17:46">
      <c r="Q71">
        <v>64</v>
      </c>
      <c r="R71" s="105">
        <f t="shared" ref="R71:R134" si="43">VOUT</f>
        <v>10</v>
      </c>
      <c r="S71" s="106">
        <f t="shared" ref="S71:S102" si="44">Q71*$O$12</f>
        <v>0.853333333333333</v>
      </c>
      <c r="T71" s="106">
        <f t="shared" ref="T71:T134" si="45">VIN_var</f>
        <v>4</v>
      </c>
      <c r="U71" s="107">
        <f t="shared" ref="U71:U102" si="46">(R71*S71)/(T71*EFF_est)</f>
        <v>2.13333333333333</v>
      </c>
      <c r="V71" s="105">
        <f t="shared" ref="V71:V102" si="47">IF(S71&lt;((T71^2)*R71)/(2*Fsw*Lm*((T71+R71)^2)),1,2)</f>
        <v>2</v>
      </c>
      <c r="W71" s="106">
        <f t="shared" ref="W71:W102" si="48">CHOOSE(V71,SQRT(2*Lm*R71*S71*Fsw)/T71,R71/(T71+R71))</f>
        <v>0.714285714285714</v>
      </c>
      <c r="X71" s="107">
        <f t="shared" ref="X71:X102" si="49">CHOOSE(V71,(Lm*Z71*Fsw)/(R71),1-W71)</f>
        <v>0.285714285714286</v>
      </c>
      <c r="Y71" s="105">
        <f t="shared" si="18"/>
        <v>0.868432479374729</v>
      </c>
      <c r="Z71" s="106">
        <f t="shared" si="33"/>
        <v>3.8550991460414</v>
      </c>
      <c r="AA71" s="106">
        <f t="shared" si="19"/>
        <v>2.14801280847683</v>
      </c>
      <c r="AB71" s="106">
        <v>0</v>
      </c>
      <c r="AC71" s="106">
        <f t="shared" si="20"/>
        <v>0.0461395902538052</v>
      </c>
      <c r="AD71" s="107">
        <f t="shared" si="21"/>
        <v>0.0461395902538052</v>
      </c>
      <c r="AE71" s="105">
        <f t="shared" si="22"/>
        <v>1.30031746031746</v>
      </c>
      <c r="AF71" s="106">
        <f t="shared" si="23"/>
        <v>2.14801280847683</v>
      </c>
      <c r="AG71" s="106">
        <f t="shared" ref="AG71:AG102" si="50">(AF71^2)*RDS_on</f>
        <v>0.0392186517157344</v>
      </c>
      <c r="AH71" s="106">
        <f t="shared" ref="AH71:AH102" si="51">(((R71+T71)*(U71+S71))/2)*Fsw*(tr_sw+tf_sw)</f>
        <v>0.25288629527492</v>
      </c>
      <c r="AI71" s="107">
        <f t="shared" si="24"/>
        <v>0.292104946990655</v>
      </c>
      <c r="AJ71" s="105">
        <f t="shared" si="25"/>
        <v>0.853333333333333</v>
      </c>
      <c r="AK71" s="106">
        <f t="shared" si="26"/>
        <v>1.83344233406957</v>
      </c>
      <c r="AL71" s="106">
        <f t="shared" si="27"/>
        <v>0.277333333333333</v>
      </c>
      <c r="AM71" s="106">
        <f t="shared" ref="AM71:AM102" si="52">(R71+T71+Vd_rect)*Qrr*Fsw</f>
        <v>0</v>
      </c>
      <c r="AN71" s="107">
        <f t="shared" si="28"/>
        <v>0.277333333333333</v>
      </c>
      <c r="AO71" s="105">
        <f t="shared" ref="AO71:AO102" si="53">(AF71^2)*R_cs</f>
        <v>0.0461395902538052</v>
      </c>
      <c r="AP71" s="106">
        <f t="shared" ref="AP71:AP134" si="54">Qg_tot*Vcc*Fsw</f>
        <v>0.0756</v>
      </c>
      <c r="AQ71" s="107">
        <f t="shared" si="29"/>
        <v>0.0132</v>
      </c>
      <c r="AR71" s="105">
        <f t="shared" si="30"/>
        <v>0.704377870577793</v>
      </c>
      <c r="AS71" s="106">
        <f t="shared" si="31"/>
        <v>8.53333333333333</v>
      </c>
      <c r="AT71" s="107">
        <f t="shared" si="32"/>
        <v>92.3749741139389</v>
      </c>
    </row>
    <row r="72" spans="17:46">
      <c r="Q72">
        <v>65</v>
      </c>
      <c r="R72" s="105">
        <f t="shared" si="43"/>
        <v>10</v>
      </c>
      <c r="S72" s="106">
        <f t="shared" si="44"/>
        <v>0.866666666666667</v>
      </c>
      <c r="T72" s="106">
        <f t="shared" si="45"/>
        <v>4</v>
      </c>
      <c r="U72" s="107">
        <f t="shared" si="46"/>
        <v>2.16666666666667</v>
      </c>
      <c r="V72" s="105">
        <f t="shared" si="47"/>
        <v>2</v>
      </c>
      <c r="W72" s="106">
        <f t="shared" si="48"/>
        <v>0.714285714285714</v>
      </c>
      <c r="X72" s="107">
        <f t="shared" si="49"/>
        <v>0.285714285714286</v>
      </c>
      <c r="Y72" s="105">
        <f t="shared" ref="Y72:Y135" si="55">(T72*W72)/(Lm*Fsw)</f>
        <v>0.868432479374729</v>
      </c>
      <c r="Z72" s="106">
        <f t="shared" ref="Z72:Z135" si="56">CHOOSE(V72,Y72,U72+S72+(Y72))</f>
        <v>3.90176581270806</v>
      </c>
      <c r="AA72" s="106">
        <f t="shared" ref="AA72:AA135" si="57">CHOOSE(V72,Z72*SQRT((W72+X72)/3),SQRT((U72^2)+((Y72^2)/12)))</f>
        <v>2.18112181198434</v>
      </c>
      <c r="AB72" s="106">
        <v>0</v>
      </c>
      <c r="AC72" s="106">
        <f t="shared" ref="AC72:AC135" si="58">(AA72^2)*Rdcr</f>
        <v>0.0475729235871386</v>
      </c>
      <c r="AD72" s="107">
        <f t="shared" ref="AD72:AD135" si="59">AB72+AC72</f>
        <v>0.0475729235871386</v>
      </c>
      <c r="AE72" s="105">
        <f t="shared" ref="AE72:AE135" si="60">U72*S72*W72</f>
        <v>1.34126984126984</v>
      </c>
      <c r="AF72" s="106">
        <f t="shared" ref="AF72:AF135" si="61">AA72</f>
        <v>2.18112181198434</v>
      </c>
      <c r="AG72" s="106">
        <f t="shared" si="50"/>
        <v>0.0404369850490678</v>
      </c>
      <c r="AH72" s="106">
        <f t="shared" si="51"/>
        <v>0.256837643638591</v>
      </c>
      <c r="AI72" s="107">
        <f t="shared" ref="AI72:AI135" si="62">AG72+AH72</f>
        <v>0.297274628687659</v>
      </c>
      <c r="AJ72" s="105">
        <f t="shared" ref="AJ72:AJ135" si="63">S72</f>
        <v>0.866666666666667</v>
      </c>
      <c r="AK72" s="106">
        <f t="shared" ref="AK72:AK135" si="64">CHOOSE(V72,Z72*SQRT(X72/3),SQRT(X72*((Z72^2)+((Y72^2)/3)-(Y72*Z72))))</f>
        <v>1.8583208976789</v>
      </c>
      <c r="AL72" s="106">
        <f t="shared" ref="AL72:AL135" si="65">S72*Vd_rect</f>
        <v>0.281666666666667</v>
      </c>
      <c r="AM72" s="106">
        <f t="shared" si="52"/>
        <v>0</v>
      </c>
      <c r="AN72" s="107">
        <f t="shared" ref="AN72:AN135" si="66">AL72+AM72</f>
        <v>0.281666666666667</v>
      </c>
      <c r="AO72" s="105">
        <f t="shared" si="53"/>
        <v>0.0475729235871386</v>
      </c>
      <c r="AP72" s="106">
        <f t="shared" si="54"/>
        <v>0.0756</v>
      </c>
      <c r="AQ72" s="107">
        <f t="shared" ref="AQ72:AQ135" si="67">IQ*T72</f>
        <v>0.0132</v>
      </c>
      <c r="AR72" s="105">
        <f t="shared" ref="AR72:AR135" si="68">AO72+AN72+AI72+AP72+AQ72</f>
        <v>0.715314218941464</v>
      </c>
      <c r="AS72" s="106">
        <f t="shared" ref="AS72:AS135" si="69">R72*S72</f>
        <v>8.66666666666667</v>
      </c>
      <c r="AT72" s="107">
        <f t="shared" ref="AT72:AT135" si="70">(AS72/(AS72+AR72))*100</f>
        <v>92.3756589609051</v>
      </c>
    </row>
    <row r="73" spans="17:46">
      <c r="Q73">
        <v>66</v>
      </c>
      <c r="R73" s="105">
        <f t="shared" si="43"/>
        <v>10</v>
      </c>
      <c r="S73" s="106">
        <f t="shared" si="44"/>
        <v>0.88</v>
      </c>
      <c r="T73" s="106">
        <f t="shared" si="45"/>
        <v>4</v>
      </c>
      <c r="U73" s="107">
        <f t="shared" si="46"/>
        <v>2.2</v>
      </c>
      <c r="V73" s="105">
        <f t="shared" si="47"/>
        <v>2</v>
      </c>
      <c r="W73" s="106">
        <f t="shared" si="48"/>
        <v>0.714285714285714</v>
      </c>
      <c r="X73" s="107">
        <f t="shared" si="49"/>
        <v>0.285714285714286</v>
      </c>
      <c r="Y73" s="105">
        <f t="shared" si="55"/>
        <v>0.868432479374729</v>
      </c>
      <c r="Z73" s="106">
        <f t="shared" si="56"/>
        <v>3.94843247937473</v>
      </c>
      <c r="AA73" s="106">
        <f t="shared" si="57"/>
        <v>2.21423754693786</v>
      </c>
      <c r="AB73" s="106">
        <v>0</v>
      </c>
      <c r="AC73" s="106">
        <f t="shared" si="58"/>
        <v>0.0490284791426941</v>
      </c>
      <c r="AD73" s="107">
        <f t="shared" si="59"/>
        <v>0.0490284791426941</v>
      </c>
      <c r="AE73" s="105">
        <f t="shared" si="60"/>
        <v>1.38285714285714</v>
      </c>
      <c r="AF73" s="106">
        <f t="shared" si="61"/>
        <v>2.21423754693786</v>
      </c>
      <c r="AG73" s="106">
        <f t="shared" si="50"/>
        <v>0.04167420727129</v>
      </c>
      <c r="AH73" s="106">
        <f t="shared" si="51"/>
        <v>0.260788992002262</v>
      </c>
      <c r="AI73" s="107">
        <f t="shared" si="62"/>
        <v>0.302463199273552</v>
      </c>
      <c r="AJ73" s="105">
        <f t="shared" si="63"/>
        <v>0.88</v>
      </c>
      <c r="AK73" s="106">
        <f t="shared" si="64"/>
        <v>1.88320120262978</v>
      </c>
      <c r="AL73" s="106">
        <f t="shared" si="65"/>
        <v>0.286</v>
      </c>
      <c r="AM73" s="106">
        <f t="shared" si="52"/>
        <v>0</v>
      </c>
      <c r="AN73" s="107">
        <f t="shared" si="66"/>
        <v>0.286</v>
      </c>
      <c r="AO73" s="105">
        <f t="shared" si="53"/>
        <v>0.0490284791426941</v>
      </c>
      <c r="AP73" s="106">
        <f t="shared" si="54"/>
        <v>0.0756</v>
      </c>
      <c r="AQ73" s="107">
        <f t="shared" si="67"/>
        <v>0.0132</v>
      </c>
      <c r="AR73" s="105">
        <f t="shared" si="68"/>
        <v>0.726291678416246</v>
      </c>
      <c r="AS73" s="106">
        <f t="shared" si="69"/>
        <v>8.8</v>
      </c>
      <c r="AT73" s="107">
        <f t="shared" si="70"/>
        <v>92.3759244107357</v>
      </c>
    </row>
    <row r="74" spans="17:46">
      <c r="Q74">
        <v>67</v>
      </c>
      <c r="R74" s="105">
        <f t="shared" si="43"/>
        <v>10</v>
      </c>
      <c r="S74" s="106">
        <f t="shared" si="44"/>
        <v>0.893333333333333</v>
      </c>
      <c r="T74" s="106">
        <f t="shared" si="45"/>
        <v>4</v>
      </c>
      <c r="U74" s="107">
        <f t="shared" si="46"/>
        <v>2.23333333333333</v>
      </c>
      <c r="V74" s="105">
        <f t="shared" si="47"/>
        <v>2</v>
      </c>
      <c r="W74" s="106">
        <f t="shared" si="48"/>
        <v>0.714285714285714</v>
      </c>
      <c r="X74" s="107">
        <f t="shared" si="49"/>
        <v>0.285714285714286</v>
      </c>
      <c r="Y74" s="105">
        <f t="shared" si="55"/>
        <v>0.868432479374729</v>
      </c>
      <c r="Z74" s="106">
        <f t="shared" si="56"/>
        <v>3.9950991460414</v>
      </c>
      <c r="AA74" s="106">
        <f t="shared" si="57"/>
        <v>2.24735971576586</v>
      </c>
      <c r="AB74" s="106">
        <v>0</v>
      </c>
      <c r="AC74" s="106">
        <f t="shared" si="58"/>
        <v>0.0505062569204719</v>
      </c>
      <c r="AD74" s="107">
        <f t="shared" si="59"/>
        <v>0.0505062569204719</v>
      </c>
      <c r="AE74" s="105">
        <f t="shared" si="60"/>
        <v>1.42507936507937</v>
      </c>
      <c r="AF74" s="106">
        <f t="shared" si="61"/>
        <v>2.24735971576586</v>
      </c>
      <c r="AG74" s="106">
        <f t="shared" si="50"/>
        <v>0.0429303183824011</v>
      </c>
      <c r="AH74" s="106">
        <f t="shared" si="51"/>
        <v>0.264740340365932</v>
      </c>
      <c r="AI74" s="107">
        <f t="shared" si="62"/>
        <v>0.307670658748334</v>
      </c>
      <c r="AJ74" s="105">
        <f t="shared" si="63"/>
        <v>0.893333333333333</v>
      </c>
      <c r="AK74" s="106">
        <f t="shared" si="64"/>
        <v>1.90808318080391</v>
      </c>
      <c r="AL74" s="106">
        <f t="shared" si="65"/>
        <v>0.290333333333333</v>
      </c>
      <c r="AM74" s="106">
        <f t="shared" si="52"/>
        <v>0</v>
      </c>
      <c r="AN74" s="107">
        <f t="shared" si="66"/>
        <v>0.290333333333333</v>
      </c>
      <c r="AO74" s="105">
        <f t="shared" si="53"/>
        <v>0.0505062569204719</v>
      </c>
      <c r="AP74" s="106">
        <f t="shared" si="54"/>
        <v>0.0756</v>
      </c>
      <c r="AQ74" s="107">
        <f t="shared" si="67"/>
        <v>0.0132</v>
      </c>
      <c r="AR74" s="105">
        <f t="shared" si="68"/>
        <v>0.737310249002139</v>
      </c>
      <c r="AS74" s="106">
        <f t="shared" si="69"/>
        <v>8.93333333333333</v>
      </c>
      <c r="AT74" s="107">
        <f t="shared" si="70"/>
        <v>92.3757892354867</v>
      </c>
    </row>
    <row r="75" spans="17:46">
      <c r="Q75">
        <v>68</v>
      </c>
      <c r="R75" s="105">
        <f t="shared" si="43"/>
        <v>10</v>
      </c>
      <c r="S75" s="106">
        <f t="shared" si="44"/>
        <v>0.906666666666667</v>
      </c>
      <c r="T75" s="106">
        <f t="shared" si="45"/>
        <v>4</v>
      </c>
      <c r="U75" s="107">
        <f t="shared" si="46"/>
        <v>2.26666666666667</v>
      </c>
      <c r="V75" s="105">
        <f t="shared" si="47"/>
        <v>2</v>
      </c>
      <c r="W75" s="106">
        <f t="shared" si="48"/>
        <v>0.714285714285714</v>
      </c>
      <c r="X75" s="107">
        <f t="shared" si="49"/>
        <v>0.285714285714286</v>
      </c>
      <c r="Y75" s="105">
        <f t="shared" si="55"/>
        <v>0.868432479374729</v>
      </c>
      <c r="Z75" s="106">
        <f t="shared" si="56"/>
        <v>4.04176581270806</v>
      </c>
      <c r="AA75" s="106">
        <f t="shared" si="57"/>
        <v>2.2804880381285</v>
      </c>
      <c r="AB75" s="106">
        <v>0</v>
      </c>
      <c r="AC75" s="106">
        <f t="shared" si="58"/>
        <v>0.0520062569204719</v>
      </c>
      <c r="AD75" s="107">
        <f t="shared" si="59"/>
        <v>0.0520062569204719</v>
      </c>
      <c r="AE75" s="105">
        <f t="shared" si="60"/>
        <v>1.46793650793651</v>
      </c>
      <c r="AF75" s="106">
        <f t="shared" si="61"/>
        <v>2.2804880381285</v>
      </c>
      <c r="AG75" s="106">
        <f t="shared" si="50"/>
        <v>0.0442053183824011</v>
      </c>
      <c r="AH75" s="106">
        <f t="shared" si="51"/>
        <v>0.268691688729603</v>
      </c>
      <c r="AI75" s="107">
        <f t="shared" si="62"/>
        <v>0.312897007112004</v>
      </c>
      <c r="AJ75" s="105">
        <f t="shared" si="63"/>
        <v>0.906666666666667</v>
      </c>
      <c r="AK75" s="106">
        <f t="shared" si="64"/>
        <v>1.93296676758598</v>
      </c>
      <c r="AL75" s="106">
        <f t="shared" si="65"/>
        <v>0.294666666666667</v>
      </c>
      <c r="AM75" s="106">
        <f t="shared" si="52"/>
        <v>0</v>
      </c>
      <c r="AN75" s="107">
        <f t="shared" si="66"/>
        <v>0.294666666666667</v>
      </c>
      <c r="AO75" s="105">
        <f t="shared" si="53"/>
        <v>0.0520062569204719</v>
      </c>
      <c r="AP75" s="106">
        <f t="shared" si="54"/>
        <v>0.0756</v>
      </c>
      <c r="AQ75" s="107">
        <f t="shared" si="67"/>
        <v>0.0132</v>
      </c>
      <c r="AR75" s="105">
        <f t="shared" si="68"/>
        <v>0.748369930699143</v>
      </c>
      <c r="AS75" s="106">
        <f t="shared" si="69"/>
        <v>9.06666666666667</v>
      </c>
      <c r="AT75" s="107">
        <f t="shared" si="70"/>
        <v>92.3752711131002</v>
      </c>
    </row>
    <row r="76" spans="17:46">
      <c r="Q76">
        <v>69</v>
      </c>
      <c r="R76" s="105">
        <f t="shared" si="43"/>
        <v>10</v>
      </c>
      <c r="S76" s="106">
        <f t="shared" si="44"/>
        <v>0.92</v>
      </c>
      <c r="T76" s="106">
        <f t="shared" si="45"/>
        <v>4</v>
      </c>
      <c r="U76" s="107">
        <f t="shared" si="46"/>
        <v>2.3</v>
      </c>
      <c r="V76" s="105">
        <f t="shared" si="47"/>
        <v>2</v>
      </c>
      <c r="W76" s="106">
        <f t="shared" si="48"/>
        <v>0.714285714285714</v>
      </c>
      <c r="X76" s="107">
        <f t="shared" si="49"/>
        <v>0.285714285714286</v>
      </c>
      <c r="Y76" s="105">
        <f t="shared" si="55"/>
        <v>0.868432479374729</v>
      </c>
      <c r="Z76" s="106">
        <f t="shared" si="56"/>
        <v>4.08843247937473</v>
      </c>
      <c r="AA76" s="106">
        <f t="shared" si="57"/>
        <v>2.3136222496919</v>
      </c>
      <c r="AB76" s="106">
        <v>0</v>
      </c>
      <c r="AC76" s="106">
        <f t="shared" si="58"/>
        <v>0.0535284791426941</v>
      </c>
      <c r="AD76" s="107">
        <f t="shared" si="59"/>
        <v>0.0535284791426941</v>
      </c>
      <c r="AE76" s="105">
        <f t="shared" si="60"/>
        <v>1.51142857142857</v>
      </c>
      <c r="AF76" s="106">
        <f t="shared" si="61"/>
        <v>2.3136222496919</v>
      </c>
      <c r="AG76" s="106">
        <f t="shared" si="50"/>
        <v>0.04549920727129</v>
      </c>
      <c r="AH76" s="106">
        <f t="shared" si="51"/>
        <v>0.272643037093274</v>
      </c>
      <c r="AI76" s="107">
        <f t="shared" si="62"/>
        <v>0.318142244364564</v>
      </c>
      <c r="AJ76" s="105">
        <f t="shared" si="63"/>
        <v>0.92</v>
      </c>
      <c r="AK76" s="106">
        <f t="shared" si="64"/>
        <v>1.9578519016415</v>
      </c>
      <c r="AL76" s="106">
        <f t="shared" si="65"/>
        <v>0.299</v>
      </c>
      <c r="AM76" s="106">
        <f t="shared" si="52"/>
        <v>0</v>
      </c>
      <c r="AN76" s="107">
        <f t="shared" si="66"/>
        <v>0.299</v>
      </c>
      <c r="AO76" s="105">
        <f t="shared" si="53"/>
        <v>0.0535284791426941</v>
      </c>
      <c r="AP76" s="106">
        <f t="shared" si="54"/>
        <v>0.0756</v>
      </c>
      <c r="AQ76" s="107">
        <f t="shared" si="67"/>
        <v>0.0132</v>
      </c>
      <c r="AR76" s="105">
        <f t="shared" si="68"/>
        <v>0.759470723507258</v>
      </c>
      <c r="AS76" s="106">
        <f t="shared" si="69"/>
        <v>9.2</v>
      </c>
      <c r="AT76" s="107">
        <f t="shared" si="70"/>
        <v>92.3743867059653</v>
      </c>
    </row>
    <row r="77" spans="17:46">
      <c r="Q77">
        <v>70</v>
      </c>
      <c r="R77" s="105">
        <f t="shared" si="43"/>
        <v>10</v>
      </c>
      <c r="S77" s="106">
        <f t="shared" si="44"/>
        <v>0.933333333333333</v>
      </c>
      <c r="T77" s="106">
        <f t="shared" si="45"/>
        <v>4</v>
      </c>
      <c r="U77" s="107">
        <f t="shared" si="46"/>
        <v>2.33333333333333</v>
      </c>
      <c r="V77" s="105">
        <f t="shared" si="47"/>
        <v>2</v>
      </c>
      <c r="W77" s="106">
        <f t="shared" si="48"/>
        <v>0.714285714285714</v>
      </c>
      <c r="X77" s="107">
        <f t="shared" si="49"/>
        <v>0.285714285714286</v>
      </c>
      <c r="Y77" s="105">
        <f t="shared" si="55"/>
        <v>0.868432479374729</v>
      </c>
      <c r="Z77" s="106">
        <f t="shared" si="56"/>
        <v>4.1350991460414</v>
      </c>
      <c r="AA77" s="106">
        <f t="shared" si="57"/>
        <v>2.3467621010051</v>
      </c>
      <c r="AB77" s="106">
        <v>0</v>
      </c>
      <c r="AC77" s="106">
        <f t="shared" si="58"/>
        <v>0.0550729235871386</v>
      </c>
      <c r="AD77" s="107">
        <f t="shared" si="59"/>
        <v>0.0550729235871386</v>
      </c>
      <c r="AE77" s="105">
        <f t="shared" si="60"/>
        <v>1.55555555555556</v>
      </c>
      <c r="AF77" s="106">
        <f t="shared" si="61"/>
        <v>2.3467621010051</v>
      </c>
      <c r="AG77" s="106">
        <f t="shared" si="50"/>
        <v>0.0468119850490678</v>
      </c>
      <c r="AH77" s="106">
        <f t="shared" si="51"/>
        <v>0.276594385456944</v>
      </c>
      <c r="AI77" s="107">
        <f t="shared" si="62"/>
        <v>0.323406370506012</v>
      </c>
      <c r="AJ77" s="105">
        <f t="shared" si="63"/>
        <v>0.933333333333333</v>
      </c>
      <c r="AK77" s="106">
        <f t="shared" si="64"/>
        <v>1.98273852471149</v>
      </c>
      <c r="AL77" s="106">
        <f t="shared" si="65"/>
        <v>0.303333333333333</v>
      </c>
      <c r="AM77" s="106">
        <f t="shared" si="52"/>
        <v>0</v>
      </c>
      <c r="AN77" s="107">
        <f t="shared" si="66"/>
        <v>0.303333333333333</v>
      </c>
      <c r="AO77" s="105">
        <f t="shared" si="53"/>
        <v>0.0550729235871386</v>
      </c>
      <c r="AP77" s="106">
        <f t="shared" si="54"/>
        <v>0.0756</v>
      </c>
      <c r="AQ77" s="107">
        <f t="shared" si="67"/>
        <v>0.0132</v>
      </c>
      <c r="AR77" s="105">
        <f t="shared" si="68"/>
        <v>0.770612627426484</v>
      </c>
      <c r="AS77" s="106">
        <f t="shared" si="69"/>
        <v>9.33333333333333</v>
      </c>
      <c r="AT77" s="107">
        <f t="shared" si="70"/>
        <v>92.3731517328055</v>
      </c>
    </row>
    <row r="78" spans="17:46">
      <c r="Q78">
        <v>71</v>
      </c>
      <c r="R78" s="105">
        <f t="shared" si="43"/>
        <v>10</v>
      </c>
      <c r="S78" s="106">
        <f t="shared" si="44"/>
        <v>0.946666666666667</v>
      </c>
      <c r="T78" s="106">
        <f t="shared" si="45"/>
        <v>4</v>
      </c>
      <c r="U78" s="107">
        <f t="shared" si="46"/>
        <v>2.36666666666667</v>
      </c>
      <c r="V78" s="105">
        <f t="shared" si="47"/>
        <v>2</v>
      </c>
      <c r="W78" s="106">
        <f t="shared" si="48"/>
        <v>0.714285714285714</v>
      </c>
      <c r="X78" s="107">
        <f t="shared" si="49"/>
        <v>0.285714285714286</v>
      </c>
      <c r="Y78" s="105">
        <f t="shared" si="55"/>
        <v>0.868432479374729</v>
      </c>
      <c r="Z78" s="106">
        <f t="shared" si="56"/>
        <v>4.18176581270806</v>
      </c>
      <c r="AA78" s="106">
        <f t="shared" si="57"/>
        <v>2.37990735647011</v>
      </c>
      <c r="AB78" s="106">
        <v>0</v>
      </c>
      <c r="AC78" s="106">
        <f t="shared" si="58"/>
        <v>0.0566395902538052</v>
      </c>
      <c r="AD78" s="107">
        <f t="shared" si="59"/>
        <v>0.0566395902538052</v>
      </c>
      <c r="AE78" s="105">
        <f t="shared" si="60"/>
        <v>1.60031746031746</v>
      </c>
      <c r="AF78" s="106">
        <f t="shared" si="61"/>
        <v>2.37990735647011</v>
      </c>
      <c r="AG78" s="106">
        <f t="shared" si="50"/>
        <v>0.0481436517157345</v>
      </c>
      <c r="AH78" s="106">
        <f t="shared" si="51"/>
        <v>0.280545733820615</v>
      </c>
      <c r="AI78" s="107">
        <f t="shared" si="62"/>
        <v>0.328689385536349</v>
      </c>
      <c r="AJ78" s="105">
        <f t="shared" si="63"/>
        <v>0.946666666666667</v>
      </c>
      <c r="AK78" s="106">
        <f t="shared" si="64"/>
        <v>2.00762658142231</v>
      </c>
      <c r="AL78" s="106">
        <f t="shared" si="65"/>
        <v>0.307666666666667</v>
      </c>
      <c r="AM78" s="106">
        <f t="shared" si="52"/>
        <v>0</v>
      </c>
      <c r="AN78" s="107">
        <f t="shared" si="66"/>
        <v>0.307666666666667</v>
      </c>
      <c r="AO78" s="105">
        <f t="shared" si="53"/>
        <v>0.0566395902538052</v>
      </c>
      <c r="AP78" s="106">
        <f t="shared" si="54"/>
        <v>0.0756</v>
      </c>
      <c r="AQ78" s="107">
        <f t="shared" si="67"/>
        <v>0.0132</v>
      </c>
      <c r="AR78" s="105">
        <f t="shared" si="68"/>
        <v>0.781795642456821</v>
      </c>
      <c r="AS78" s="106">
        <f t="shared" si="69"/>
        <v>9.46666666666667</v>
      </c>
      <c r="AT78" s="107">
        <f t="shared" si="70"/>
        <v>92.3715810345437</v>
      </c>
    </row>
    <row r="79" spans="17:46">
      <c r="Q79">
        <v>72</v>
      </c>
      <c r="R79" s="105">
        <f t="shared" si="43"/>
        <v>10</v>
      </c>
      <c r="S79" s="106">
        <f t="shared" si="44"/>
        <v>0.96</v>
      </c>
      <c r="T79" s="106">
        <f t="shared" si="45"/>
        <v>4</v>
      </c>
      <c r="U79" s="107">
        <f t="shared" si="46"/>
        <v>2.4</v>
      </c>
      <c r="V79" s="105">
        <f t="shared" si="47"/>
        <v>2</v>
      </c>
      <c r="W79" s="106">
        <f t="shared" si="48"/>
        <v>0.714285714285714</v>
      </c>
      <c r="X79" s="107">
        <f t="shared" si="49"/>
        <v>0.285714285714286</v>
      </c>
      <c r="Y79" s="105">
        <f t="shared" si="55"/>
        <v>0.868432479374729</v>
      </c>
      <c r="Z79" s="106">
        <f t="shared" si="56"/>
        <v>4.22843247937473</v>
      </c>
      <c r="AA79" s="106">
        <f t="shared" si="57"/>
        <v>2.41305779339605</v>
      </c>
      <c r="AB79" s="106">
        <v>0</v>
      </c>
      <c r="AC79" s="106">
        <f t="shared" si="58"/>
        <v>0.0582284791426941</v>
      </c>
      <c r="AD79" s="107">
        <f t="shared" si="59"/>
        <v>0.0582284791426941</v>
      </c>
      <c r="AE79" s="105">
        <f t="shared" si="60"/>
        <v>1.64571428571429</v>
      </c>
      <c r="AF79" s="106">
        <f t="shared" si="61"/>
        <v>2.41305779339605</v>
      </c>
      <c r="AG79" s="106">
        <f t="shared" si="50"/>
        <v>0.04949420727129</v>
      </c>
      <c r="AH79" s="106">
        <f t="shared" si="51"/>
        <v>0.284497082184286</v>
      </c>
      <c r="AI79" s="107">
        <f t="shared" si="62"/>
        <v>0.333991289455576</v>
      </c>
      <c r="AJ79" s="105">
        <f t="shared" si="63"/>
        <v>0.96</v>
      </c>
      <c r="AK79" s="106">
        <f t="shared" si="64"/>
        <v>2.03251601910937</v>
      </c>
      <c r="AL79" s="106">
        <f t="shared" si="65"/>
        <v>0.312</v>
      </c>
      <c r="AM79" s="106">
        <f t="shared" si="52"/>
        <v>0</v>
      </c>
      <c r="AN79" s="107">
        <f t="shared" si="66"/>
        <v>0.312</v>
      </c>
      <c r="AO79" s="105">
        <f t="shared" si="53"/>
        <v>0.0582284791426941</v>
      </c>
      <c r="AP79" s="106">
        <f t="shared" si="54"/>
        <v>0.0756</v>
      </c>
      <c r="AQ79" s="107">
        <f t="shared" si="67"/>
        <v>0.0132</v>
      </c>
      <c r="AR79" s="105">
        <f t="shared" si="68"/>
        <v>0.79301976859827</v>
      </c>
      <c r="AS79" s="106">
        <f t="shared" si="69"/>
        <v>9.6</v>
      </c>
      <c r="AT79" s="107">
        <f t="shared" si="70"/>
        <v>92.3696886347285</v>
      </c>
    </row>
    <row r="80" spans="17:46">
      <c r="Q80">
        <v>73</v>
      </c>
      <c r="R80" s="105">
        <f t="shared" si="43"/>
        <v>10</v>
      </c>
      <c r="S80" s="106">
        <f t="shared" si="44"/>
        <v>0.973333333333333</v>
      </c>
      <c r="T80" s="106">
        <f t="shared" si="45"/>
        <v>4</v>
      </c>
      <c r="U80" s="107">
        <f t="shared" si="46"/>
        <v>2.43333333333333</v>
      </c>
      <c r="V80" s="105">
        <f t="shared" si="47"/>
        <v>2</v>
      </c>
      <c r="W80" s="106">
        <f t="shared" si="48"/>
        <v>0.714285714285714</v>
      </c>
      <c r="X80" s="107">
        <f t="shared" si="49"/>
        <v>0.285714285714286</v>
      </c>
      <c r="Y80" s="105">
        <f t="shared" si="55"/>
        <v>0.868432479374729</v>
      </c>
      <c r="Z80" s="106">
        <f t="shared" si="56"/>
        <v>4.2750991460414</v>
      </c>
      <c r="AA80" s="106">
        <f t="shared" si="57"/>
        <v>2.44621320112956</v>
      </c>
      <c r="AB80" s="106">
        <v>0</v>
      </c>
      <c r="AC80" s="106">
        <f t="shared" si="58"/>
        <v>0.0598395902538052</v>
      </c>
      <c r="AD80" s="107">
        <f t="shared" si="59"/>
        <v>0.0598395902538052</v>
      </c>
      <c r="AE80" s="105">
        <f t="shared" si="60"/>
        <v>1.69174603174603</v>
      </c>
      <c r="AF80" s="106">
        <f t="shared" si="61"/>
        <v>2.44621320112956</v>
      </c>
      <c r="AG80" s="106">
        <f t="shared" si="50"/>
        <v>0.0508636517157345</v>
      </c>
      <c r="AH80" s="106">
        <f t="shared" si="51"/>
        <v>0.288448430547956</v>
      </c>
      <c r="AI80" s="107">
        <f t="shared" si="62"/>
        <v>0.339312082263691</v>
      </c>
      <c r="AJ80" s="105">
        <f t="shared" si="63"/>
        <v>0.973333333333333</v>
      </c>
      <c r="AK80" s="106">
        <f t="shared" si="64"/>
        <v>2.05740678765368</v>
      </c>
      <c r="AL80" s="106">
        <f t="shared" si="65"/>
        <v>0.316333333333333</v>
      </c>
      <c r="AM80" s="106">
        <f t="shared" si="52"/>
        <v>0</v>
      </c>
      <c r="AN80" s="107">
        <f t="shared" si="66"/>
        <v>0.316333333333333</v>
      </c>
      <c r="AO80" s="105">
        <f t="shared" si="53"/>
        <v>0.0598395902538052</v>
      </c>
      <c r="AP80" s="106">
        <f t="shared" si="54"/>
        <v>0.0756</v>
      </c>
      <c r="AQ80" s="107">
        <f t="shared" si="67"/>
        <v>0.0132</v>
      </c>
      <c r="AR80" s="105">
        <f t="shared" si="68"/>
        <v>0.804285005850829</v>
      </c>
      <c r="AS80" s="106">
        <f t="shared" si="69"/>
        <v>9.73333333333333</v>
      </c>
      <c r="AT80" s="107">
        <f t="shared" si="70"/>
        <v>92.3674877950353</v>
      </c>
    </row>
    <row r="81" spans="17:46">
      <c r="Q81">
        <v>74</v>
      </c>
      <c r="R81" s="105">
        <f t="shared" si="43"/>
        <v>10</v>
      </c>
      <c r="S81" s="106">
        <f t="shared" si="44"/>
        <v>0.986666666666667</v>
      </c>
      <c r="T81" s="106">
        <f t="shared" si="45"/>
        <v>4</v>
      </c>
      <c r="U81" s="107">
        <f t="shared" si="46"/>
        <v>2.46666666666667</v>
      </c>
      <c r="V81" s="105">
        <f t="shared" si="47"/>
        <v>2</v>
      </c>
      <c r="W81" s="106">
        <f t="shared" si="48"/>
        <v>0.714285714285714</v>
      </c>
      <c r="X81" s="107">
        <f t="shared" si="49"/>
        <v>0.285714285714286</v>
      </c>
      <c r="Y81" s="105">
        <f t="shared" si="55"/>
        <v>0.868432479374729</v>
      </c>
      <c r="Z81" s="106">
        <f t="shared" si="56"/>
        <v>4.32176581270806</v>
      </c>
      <c r="AA81" s="106">
        <f t="shared" si="57"/>
        <v>2.47937338025435</v>
      </c>
      <c r="AB81" s="106">
        <v>0</v>
      </c>
      <c r="AC81" s="106">
        <f t="shared" si="58"/>
        <v>0.0614729235871386</v>
      </c>
      <c r="AD81" s="107">
        <f t="shared" si="59"/>
        <v>0.0614729235871386</v>
      </c>
      <c r="AE81" s="105">
        <f t="shared" si="60"/>
        <v>1.7384126984127</v>
      </c>
      <c r="AF81" s="106">
        <f t="shared" si="61"/>
        <v>2.47937338025435</v>
      </c>
      <c r="AG81" s="106">
        <f t="shared" si="50"/>
        <v>0.0522519850490678</v>
      </c>
      <c r="AH81" s="106">
        <f t="shared" si="51"/>
        <v>0.292399778911627</v>
      </c>
      <c r="AI81" s="107">
        <f t="shared" si="62"/>
        <v>0.344651763960695</v>
      </c>
      <c r="AJ81" s="105">
        <f t="shared" si="63"/>
        <v>0.986666666666667</v>
      </c>
      <c r="AK81" s="106">
        <f t="shared" si="64"/>
        <v>2.08229883933001</v>
      </c>
      <c r="AL81" s="106">
        <f t="shared" si="65"/>
        <v>0.320666666666667</v>
      </c>
      <c r="AM81" s="106">
        <f t="shared" si="52"/>
        <v>0</v>
      </c>
      <c r="AN81" s="107">
        <f t="shared" si="66"/>
        <v>0.320666666666667</v>
      </c>
      <c r="AO81" s="105">
        <f t="shared" si="53"/>
        <v>0.0614729235871386</v>
      </c>
      <c r="AP81" s="106">
        <f t="shared" si="54"/>
        <v>0.0756</v>
      </c>
      <c r="AQ81" s="107">
        <f t="shared" si="67"/>
        <v>0.0132</v>
      </c>
      <c r="AR81" s="105">
        <f t="shared" si="68"/>
        <v>0.8155913542145</v>
      </c>
      <c r="AS81" s="106">
        <f t="shared" si="69"/>
        <v>9.86666666666667</v>
      </c>
      <c r="AT81" s="107">
        <f t="shared" si="70"/>
        <v>92.3649910663062</v>
      </c>
    </row>
    <row r="82" spans="17:46">
      <c r="Q82">
        <v>75</v>
      </c>
      <c r="R82" s="105">
        <f t="shared" si="43"/>
        <v>10</v>
      </c>
      <c r="S82" s="106">
        <f t="shared" si="44"/>
        <v>1</v>
      </c>
      <c r="T82" s="106">
        <f t="shared" si="45"/>
        <v>4</v>
      </c>
      <c r="U82" s="107">
        <f t="shared" si="46"/>
        <v>2.5</v>
      </c>
      <c r="V82" s="105">
        <f t="shared" si="47"/>
        <v>2</v>
      </c>
      <c r="W82" s="106">
        <f t="shared" si="48"/>
        <v>0.714285714285714</v>
      </c>
      <c r="X82" s="107">
        <f t="shared" si="49"/>
        <v>0.285714285714286</v>
      </c>
      <c r="Y82" s="105">
        <f t="shared" si="55"/>
        <v>0.868432479374729</v>
      </c>
      <c r="Z82" s="106">
        <f t="shared" si="56"/>
        <v>4.36843247937473</v>
      </c>
      <c r="AA82" s="106">
        <f t="shared" si="57"/>
        <v>2.51253814185365</v>
      </c>
      <c r="AB82" s="106">
        <v>0</v>
      </c>
      <c r="AC82" s="106">
        <f t="shared" si="58"/>
        <v>0.0631284791426941</v>
      </c>
      <c r="AD82" s="107">
        <f t="shared" si="59"/>
        <v>0.0631284791426941</v>
      </c>
      <c r="AE82" s="105">
        <f t="shared" si="60"/>
        <v>1.78571428571429</v>
      </c>
      <c r="AF82" s="106">
        <f t="shared" si="61"/>
        <v>2.51253814185365</v>
      </c>
      <c r="AG82" s="106">
        <f t="shared" si="50"/>
        <v>0.05365920727129</v>
      </c>
      <c r="AH82" s="106">
        <f t="shared" si="51"/>
        <v>0.296351127275297</v>
      </c>
      <c r="AI82" s="107">
        <f t="shared" si="62"/>
        <v>0.350010334546587</v>
      </c>
      <c r="AJ82" s="105">
        <f t="shared" si="63"/>
        <v>1</v>
      </c>
      <c r="AK82" s="106">
        <f t="shared" si="64"/>
        <v>2.10719212866582</v>
      </c>
      <c r="AL82" s="106">
        <f t="shared" si="65"/>
        <v>0.325</v>
      </c>
      <c r="AM82" s="106">
        <f t="shared" si="52"/>
        <v>0</v>
      </c>
      <c r="AN82" s="107">
        <f t="shared" si="66"/>
        <v>0.325</v>
      </c>
      <c r="AO82" s="105">
        <f t="shared" si="53"/>
        <v>0.0631284791426941</v>
      </c>
      <c r="AP82" s="106">
        <f t="shared" si="54"/>
        <v>0.0756</v>
      </c>
      <c r="AQ82" s="107">
        <f t="shared" si="67"/>
        <v>0.0132</v>
      </c>
      <c r="AR82" s="105">
        <f t="shared" si="68"/>
        <v>0.826938813689281</v>
      </c>
      <c r="AS82" s="106">
        <f t="shared" si="69"/>
        <v>10</v>
      </c>
      <c r="AT82" s="107">
        <f t="shared" si="70"/>
        <v>92.3622103355408</v>
      </c>
    </row>
    <row r="83" spans="17:46">
      <c r="Q83">
        <v>76</v>
      </c>
      <c r="R83" s="105">
        <f t="shared" si="43"/>
        <v>10</v>
      </c>
      <c r="S83" s="106">
        <f t="shared" si="44"/>
        <v>1.01333333333333</v>
      </c>
      <c r="T83" s="106">
        <f t="shared" si="45"/>
        <v>4</v>
      </c>
      <c r="U83" s="107">
        <f t="shared" si="46"/>
        <v>2.53333333333333</v>
      </c>
      <c r="V83" s="105">
        <f t="shared" si="47"/>
        <v>2</v>
      </c>
      <c r="W83" s="106">
        <f t="shared" si="48"/>
        <v>0.714285714285714</v>
      </c>
      <c r="X83" s="107">
        <f t="shared" si="49"/>
        <v>0.285714285714286</v>
      </c>
      <c r="Y83" s="105">
        <f t="shared" si="55"/>
        <v>0.868432479374729</v>
      </c>
      <c r="Z83" s="106">
        <f t="shared" si="56"/>
        <v>4.4150991460414</v>
      </c>
      <c r="AA83" s="106">
        <f t="shared" si="57"/>
        <v>2.54570730682991</v>
      </c>
      <c r="AB83" s="106">
        <v>0</v>
      </c>
      <c r="AC83" s="106">
        <f t="shared" si="58"/>
        <v>0.0648062569204719</v>
      </c>
      <c r="AD83" s="107">
        <f t="shared" si="59"/>
        <v>0.0648062569204719</v>
      </c>
      <c r="AE83" s="105">
        <f t="shared" si="60"/>
        <v>1.83365079365079</v>
      </c>
      <c r="AF83" s="106">
        <f t="shared" si="61"/>
        <v>2.54570730682991</v>
      </c>
      <c r="AG83" s="106">
        <f t="shared" si="50"/>
        <v>0.0550853183824011</v>
      </c>
      <c r="AH83" s="106">
        <f t="shared" si="51"/>
        <v>0.300302475638968</v>
      </c>
      <c r="AI83" s="107">
        <f t="shared" si="62"/>
        <v>0.355387794021369</v>
      </c>
      <c r="AJ83" s="105">
        <f t="shared" si="63"/>
        <v>1.01333333333333</v>
      </c>
      <c r="AK83" s="106">
        <f t="shared" si="64"/>
        <v>2.13208661231005</v>
      </c>
      <c r="AL83" s="106">
        <f t="shared" si="65"/>
        <v>0.329333333333333</v>
      </c>
      <c r="AM83" s="106">
        <f t="shared" si="52"/>
        <v>0</v>
      </c>
      <c r="AN83" s="107">
        <f t="shared" si="66"/>
        <v>0.329333333333333</v>
      </c>
      <c r="AO83" s="105">
        <f t="shared" si="53"/>
        <v>0.0648062569204719</v>
      </c>
      <c r="AP83" s="106">
        <f t="shared" si="54"/>
        <v>0.0756</v>
      </c>
      <c r="AQ83" s="107">
        <f t="shared" si="67"/>
        <v>0.0132</v>
      </c>
      <c r="AR83" s="105">
        <f t="shared" si="68"/>
        <v>0.838327384275175</v>
      </c>
      <c r="AS83" s="106">
        <f t="shared" si="69"/>
        <v>10.1333333333333</v>
      </c>
      <c r="AT83" s="107">
        <f t="shared" si="70"/>
        <v>92.3591568692082</v>
      </c>
    </row>
    <row r="84" spans="17:46">
      <c r="Q84">
        <v>77</v>
      </c>
      <c r="R84" s="105">
        <f t="shared" si="43"/>
        <v>10</v>
      </c>
      <c r="S84" s="106">
        <f t="shared" si="44"/>
        <v>1.02666666666667</v>
      </c>
      <c r="T84" s="106">
        <f t="shared" si="45"/>
        <v>4</v>
      </c>
      <c r="U84" s="107">
        <f t="shared" si="46"/>
        <v>2.56666666666667</v>
      </c>
      <c r="V84" s="105">
        <f t="shared" si="47"/>
        <v>2</v>
      </c>
      <c r="W84" s="106">
        <f t="shared" si="48"/>
        <v>0.714285714285714</v>
      </c>
      <c r="X84" s="107">
        <f t="shared" si="49"/>
        <v>0.285714285714286</v>
      </c>
      <c r="Y84" s="105">
        <f t="shared" si="55"/>
        <v>0.868432479374729</v>
      </c>
      <c r="Z84" s="106">
        <f t="shared" si="56"/>
        <v>4.46176581270806</v>
      </c>
      <c r="AA84" s="106">
        <f t="shared" si="57"/>
        <v>2.57888070527646</v>
      </c>
      <c r="AB84" s="106">
        <v>0</v>
      </c>
      <c r="AC84" s="106">
        <f t="shared" si="58"/>
        <v>0.0665062569204719</v>
      </c>
      <c r="AD84" s="107">
        <f t="shared" si="59"/>
        <v>0.0665062569204719</v>
      </c>
      <c r="AE84" s="105">
        <f t="shared" si="60"/>
        <v>1.88222222222222</v>
      </c>
      <c r="AF84" s="106">
        <f t="shared" si="61"/>
        <v>2.57888070527646</v>
      </c>
      <c r="AG84" s="106">
        <f t="shared" si="50"/>
        <v>0.0565303183824011</v>
      </c>
      <c r="AH84" s="106">
        <f t="shared" si="51"/>
        <v>0.304253824002639</v>
      </c>
      <c r="AI84" s="107">
        <f t="shared" si="62"/>
        <v>0.36078414238504</v>
      </c>
      <c r="AJ84" s="105">
        <f t="shared" si="63"/>
        <v>1.02666666666667</v>
      </c>
      <c r="AK84" s="106">
        <f t="shared" si="64"/>
        <v>2.15698224891091</v>
      </c>
      <c r="AL84" s="106">
        <f t="shared" si="65"/>
        <v>0.333666666666667</v>
      </c>
      <c r="AM84" s="106">
        <f t="shared" si="52"/>
        <v>0</v>
      </c>
      <c r="AN84" s="107">
        <f t="shared" si="66"/>
        <v>0.333666666666667</v>
      </c>
      <c r="AO84" s="105">
        <f t="shared" si="53"/>
        <v>0.0665062569204719</v>
      </c>
      <c r="AP84" s="106">
        <f t="shared" si="54"/>
        <v>0.0756</v>
      </c>
      <c r="AQ84" s="107">
        <f t="shared" si="67"/>
        <v>0.0132</v>
      </c>
      <c r="AR84" s="105">
        <f t="shared" si="68"/>
        <v>0.849757065972178</v>
      </c>
      <c r="AS84" s="106">
        <f t="shared" si="69"/>
        <v>10.2666666666667</v>
      </c>
      <c r="AT84" s="107">
        <f t="shared" si="70"/>
        <v>92.3558413532113</v>
      </c>
    </row>
    <row r="85" spans="17:46">
      <c r="Q85">
        <v>78</v>
      </c>
      <c r="R85" s="105">
        <f t="shared" si="43"/>
        <v>10</v>
      </c>
      <c r="S85" s="106">
        <f t="shared" si="44"/>
        <v>1.04</v>
      </c>
      <c r="T85" s="106">
        <f t="shared" si="45"/>
        <v>4</v>
      </c>
      <c r="U85" s="107">
        <f t="shared" si="46"/>
        <v>2.6</v>
      </c>
      <c r="V85" s="105">
        <f t="shared" si="47"/>
        <v>2</v>
      </c>
      <c r="W85" s="106">
        <f t="shared" si="48"/>
        <v>0.714285714285714</v>
      </c>
      <c r="X85" s="107">
        <f t="shared" si="49"/>
        <v>0.285714285714286</v>
      </c>
      <c r="Y85" s="105">
        <f t="shared" si="55"/>
        <v>0.868432479374729</v>
      </c>
      <c r="Z85" s="106">
        <f t="shared" si="56"/>
        <v>4.50843247937473</v>
      </c>
      <c r="AA85" s="106">
        <f t="shared" si="57"/>
        <v>2.61205817589682</v>
      </c>
      <c r="AB85" s="106">
        <v>0</v>
      </c>
      <c r="AC85" s="106">
        <f t="shared" si="58"/>
        <v>0.0682284791426941</v>
      </c>
      <c r="AD85" s="107">
        <f t="shared" si="59"/>
        <v>0.0682284791426941</v>
      </c>
      <c r="AE85" s="105">
        <f t="shared" si="60"/>
        <v>1.93142857142857</v>
      </c>
      <c r="AF85" s="106">
        <f t="shared" si="61"/>
        <v>2.61205817589682</v>
      </c>
      <c r="AG85" s="106">
        <f t="shared" si="50"/>
        <v>0.05799420727129</v>
      </c>
      <c r="AH85" s="106">
        <f t="shared" si="51"/>
        <v>0.308205172366309</v>
      </c>
      <c r="AI85" s="107">
        <f t="shared" si="62"/>
        <v>0.366199379637599</v>
      </c>
      <c r="AJ85" s="105">
        <f t="shared" si="63"/>
        <v>1.04</v>
      </c>
      <c r="AK85" s="106">
        <f t="shared" si="64"/>
        <v>2.18187899900205</v>
      </c>
      <c r="AL85" s="106">
        <f t="shared" si="65"/>
        <v>0.338</v>
      </c>
      <c r="AM85" s="106">
        <f t="shared" si="52"/>
        <v>0</v>
      </c>
      <c r="AN85" s="107">
        <f t="shared" si="66"/>
        <v>0.338</v>
      </c>
      <c r="AO85" s="105">
        <f t="shared" si="53"/>
        <v>0.0682284791426941</v>
      </c>
      <c r="AP85" s="106">
        <f t="shared" si="54"/>
        <v>0.0756</v>
      </c>
      <c r="AQ85" s="107">
        <f t="shared" si="67"/>
        <v>0.0132</v>
      </c>
      <c r="AR85" s="105">
        <f t="shared" si="68"/>
        <v>0.861227858780294</v>
      </c>
      <c r="AS85" s="106">
        <f t="shared" si="69"/>
        <v>10.4</v>
      </c>
      <c r="AT85" s="107">
        <f t="shared" si="70"/>
        <v>92.3522739298024</v>
      </c>
    </row>
    <row r="86" spans="17:46">
      <c r="Q86">
        <v>79</v>
      </c>
      <c r="R86" s="105">
        <f t="shared" si="43"/>
        <v>10</v>
      </c>
      <c r="S86" s="106">
        <f t="shared" si="44"/>
        <v>1.05333333333333</v>
      </c>
      <c r="T86" s="106">
        <f t="shared" si="45"/>
        <v>4</v>
      </c>
      <c r="U86" s="107">
        <f t="shared" si="46"/>
        <v>2.63333333333333</v>
      </c>
      <c r="V86" s="105">
        <f t="shared" si="47"/>
        <v>2</v>
      </c>
      <c r="W86" s="106">
        <f t="shared" si="48"/>
        <v>0.714285714285714</v>
      </c>
      <c r="X86" s="107">
        <f t="shared" si="49"/>
        <v>0.285714285714286</v>
      </c>
      <c r="Y86" s="105">
        <f t="shared" si="55"/>
        <v>0.868432479374729</v>
      </c>
      <c r="Z86" s="106">
        <f t="shared" si="56"/>
        <v>4.5550991460414</v>
      </c>
      <c r="AA86" s="106">
        <f t="shared" si="57"/>
        <v>2.64523956546734</v>
      </c>
      <c r="AB86" s="106">
        <v>0</v>
      </c>
      <c r="AC86" s="106">
        <f t="shared" si="58"/>
        <v>0.0699729235871386</v>
      </c>
      <c r="AD86" s="107">
        <f t="shared" si="59"/>
        <v>0.0699729235871386</v>
      </c>
      <c r="AE86" s="105">
        <f t="shared" si="60"/>
        <v>1.98126984126984</v>
      </c>
      <c r="AF86" s="106">
        <f t="shared" si="61"/>
        <v>2.64523956546734</v>
      </c>
      <c r="AG86" s="106">
        <f t="shared" si="50"/>
        <v>0.0594769850490678</v>
      </c>
      <c r="AH86" s="106">
        <f t="shared" si="51"/>
        <v>0.31215652072998</v>
      </c>
      <c r="AI86" s="107">
        <f t="shared" si="62"/>
        <v>0.371633505779048</v>
      </c>
      <c r="AJ86" s="105">
        <f t="shared" si="63"/>
        <v>1.05333333333333</v>
      </c>
      <c r="AK86" s="106">
        <f t="shared" si="64"/>
        <v>2.20677682489645</v>
      </c>
      <c r="AL86" s="106">
        <f t="shared" si="65"/>
        <v>0.342333333333333</v>
      </c>
      <c r="AM86" s="106">
        <f t="shared" si="52"/>
        <v>0</v>
      </c>
      <c r="AN86" s="107">
        <f t="shared" si="66"/>
        <v>0.342333333333333</v>
      </c>
      <c r="AO86" s="105">
        <f t="shared" si="53"/>
        <v>0.0699729235871386</v>
      </c>
      <c r="AP86" s="106">
        <f t="shared" si="54"/>
        <v>0.0756</v>
      </c>
      <c r="AQ86" s="107">
        <f t="shared" si="67"/>
        <v>0.0132</v>
      </c>
      <c r="AR86" s="105">
        <f t="shared" si="68"/>
        <v>0.87273976269952</v>
      </c>
      <c r="AS86" s="106">
        <f t="shared" si="69"/>
        <v>10.5333333333333</v>
      </c>
      <c r="AT86" s="107">
        <f t="shared" si="70"/>
        <v>92.3484642317164</v>
      </c>
    </row>
    <row r="87" spans="17:46">
      <c r="Q87">
        <v>80</v>
      </c>
      <c r="R87" s="105">
        <f t="shared" si="43"/>
        <v>10</v>
      </c>
      <c r="S87" s="106">
        <f t="shared" si="44"/>
        <v>1.06666666666667</v>
      </c>
      <c r="T87" s="106">
        <f t="shared" si="45"/>
        <v>4</v>
      </c>
      <c r="U87" s="107">
        <f t="shared" si="46"/>
        <v>2.66666666666667</v>
      </c>
      <c r="V87" s="105">
        <f t="shared" si="47"/>
        <v>2</v>
      </c>
      <c r="W87" s="106">
        <f t="shared" si="48"/>
        <v>0.714285714285714</v>
      </c>
      <c r="X87" s="107">
        <f t="shared" si="49"/>
        <v>0.285714285714286</v>
      </c>
      <c r="Y87" s="105">
        <f t="shared" si="55"/>
        <v>0.868432479374729</v>
      </c>
      <c r="Z87" s="106">
        <f t="shared" si="56"/>
        <v>4.60176581270806</v>
      </c>
      <c r="AA87" s="106">
        <f t="shared" si="57"/>
        <v>2.6784247283395</v>
      </c>
      <c r="AB87" s="106">
        <v>0</v>
      </c>
      <c r="AC87" s="106">
        <f t="shared" si="58"/>
        <v>0.0717395902538052</v>
      </c>
      <c r="AD87" s="107">
        <f t="shared" si="59"/>
        <v>0.0717395902538052</v>
      </c>
      <c r="AE87" s="105">
        <f t="shared" si="60"/>
        <v>2.03174603174603</v>
      </c>
      <c r="AF87" s="106">
        <f t="shared" si="61"/>
        <v>2.6784247283395</v>
      </c>
      <c r="AG87" s="106">
        <f t="shared" si="50"/>
        <v>0.0609786517157344</v>
      </c>
      <c r="AH87" s="106">
        <f t="shared" si="51"/>
        <v>0.316107869093651</v>
      </c>
      <c r="AI87" s="107">
        <f t="shared" si="62"/>
        <v>0.377086520809385</v>
      </c>
      <c r="AJ87" s="105">
        <f t="shared" si="63"/>
        <v>1.06666666666667</v>
      </c>
      <c r="AK87" s="106">
        <f t="shared" si="64"/>
        <v>2.23167569058732</v>
      </c>
      <c r="AL87" s="106">
        <f t="shared" si="65"/>
        <v>0.346666666666667</v>
      </c>
      <c r="AM87" s="106">
        <f t="shared" si="52"/>
        <v>0</v>
      </c>
      <c r="AN87" s="107">
        <f t="shared" si="66"/>
        <v>0.346666666666667</v>
      </c>
      <c r="AO87" s="105">
        <f t="shared" si="53"/>
        <v>0.0717395902538052</v>
      </c>
      <c r="AP87" s="106">
        <f t="shared" si="54"/>
        <v>0.0756</v>
      </c>
      <c r="AQ87" s="107">
        <f t="shared" si="67"/>
        <v>0.0132</v>
      </c>
      <c r="AR87" s="105">
        <f t="shared" si="68"/>
        <v>0.884292777729857</v>
      </c>
      <c r="AS87" s="106">
        <f t="shared" si="69"/>
        <v>10.6666666666667</v>
      </c>
      <c r="AT87" s="107">
        <f t="shared" si="70"/>
        <v>92.3444214137655</v>
      </c>
    </row>
    <row r="88" spans="17:46">
      <c r="Q88">
        <v>81</v>
      </c>
      <c r="R88" s="105">
        <f t="shared" si="43"/>
        <v>10</v>
      </c>
      <c r="S88" s="106">
        <f t="shared" si="44"/>
        <v>1.08</v>
      </c>
      <c r="T88" s="106">
        <f t="shared" si="45"/>
        <v>4</v>
      </c>
      <c r="U88" s="107">
        <f t="shared" si="46"/>
        <v>2.7</v>
      </c>
      <c r="V88" s="105">
        <f t="shared" si="47"/>
        <v>2</v>
      </c>
      <c r="W88" s="106">
        <f t="shared" si="48"/>
        <v>0.714285714285714</v>
      </c>
      <c r="X88" s="107">
        <f t="shared" si="49"/>
        <v>0.285714285714286</v>
      </c>
      <c r="Y88" s="105">
        <f t="shared" si="55"/>
        <v>0.868432479374729</v>
      </c>
      <c r="Z88" s="106">
        <f t="shared" si="56"/>
        <v>4.64843247937473</v>
      </c>
      <c r="AA88" s="106">
        <f t="shared" si="57"/>
        <v>2.71161352597847</v>
      </c>
      <c r="AB88" s="106">
        <v>0</v>
      </c>
      <c r="AC88" s="106">
        <f t="shared" si="58"/>
        <v>0.0735284791426941</v>
      </c>
      <c r="AD88" s="107">
        <f t="shared" si="59"/>
        <v>0.0735284791426941</v>
      </c>
      <c r="AE88" s="105">
        <f t="shared" si="60"/>
        <v>2.08285714285714</v>
      </c>
      <c r="AF88" s="106">
        <f t="shared" si="61"/>
        <v>2.71161352597847</v>
      </c>
      <c r="AG88" s="106">
        <f t="shared" si="50"/>
        <v>0.06249920727129</v>
      </c>
      <c r="AH88" s="106">
        <f t="shared" si="51"/>
        <v>0.320059217457321</v>
      </c>
      <c r="AI88" s="107">
        <f t="shared" si="62"/>
        <v>0.382558424728611</v>
      </c>
      <c r="AJ88" s="105">
        <f t="shared" si="63"/>
        <v>1.08</v>
      </c>
      <c r="AK88" s="106">
        <f t="shared" si="64"/>
        <v>2.25657556165558</v>
      </c>
      <c r="AL88" s="106">
        <f t="shared" si="65"/>
        <v>0.351</v>
      </c>
      <c r="AM88" s="106">
        <f t="shared" si="52"/>
        <v>0</v>
      </c>
      <c r="AN88" s="107">
        <f t="shared" si="66"/>
        <v>0.351</v>
      </c>
      <c r="AO88" s="105">
        <f t="shared" si="53"/>
        <v>0.0735284791426941</v>
      </c>
      <c r="AP88" s="106">
        <f t="shared" si="54"/>
        <v>0.0756</v>
      </c>
      <c r="AQ88" s="107">
        <f t="shared" si="67"/>
        <v>0.0132</v>
      </c>
      <c r="AR88" s="105">
        <f t="shared" si="68"/>
        <v>0.895886903871305</v>
      </c>
      <c r="AS88" s="106">
        <f t="shared" si="69"/>
        <v>10.8</v>
      </c>
      <c r="AT88" s="107">
        <f t="shared" si="70"/>
        <v>92.3401541821102</v>
      </c>
    </row>
    <row r="89" spans="17:46">
      <c r="Q89">
        <v>82</v>
      </c>
      <c r="R89" s="105">
        <f t="shared" si="43"/>
        <v>10</v>
      </c>
      <c r="S89" s="106">
        <f t="shared" si="44"/>
        <v>1.09333333333333</v>
      </c>
      <c r="T89" s="106">
        <f t="shared" si="45"/>
        <v>4</v>
      </c>
      <c r="U89" s="107">
        <f t="shared" si="46"/>
        <v>2.73333333333333</v>
      </c>
      <c r="V89" s="105">
        <f t="shared" si="47"/>
        <v>2</v>
      </c>
      <c r="W89" s="106">
        <f t="shared" si="48"/>
        <v>0.714285714285714</v>
      </c>
      <c r="X89" s="107">
        <f t="shared" si="49"/>
        <v>0.285714285714286</v>
      </c>
      <c r="Y89" s="105">
        <f t="shared" si="55"/>
        <v>0.868432479374729</v>
      </c>
      <c r="Z89" s="106">
        <f t="shared" si="56"/>
        <v>4.6950991460414</v>
      </c>
      <c r="AA89" s="106">
        <f t="shared" si="57"/>
        <v>2.74480582653501</v>
      </c>
      <c r="AB89" s="106">
        <v>0</v>
      </c>
      <c r="AC89" s="106">
        <f t="shared" si="58"/>
        <v>0.0753395902538053</v>
      </c>
      <c r="AD89" s="107">
        <f t="shared" si="59"/>
        <v>0.0753395902538053</v>
      </c>
      <c r="AE89" s="105">
        <f t="shared" si="60"/>
        <v>2.13460317460318</v>
      </c>
      <c r="AF89" s="106">
        <f t="shared" si="61"/>
        <v>2.74480582653501</v>
      </c>
      <c r="AG89" s="106">
        <f t="shared" si="50"/>
        <v>0.0640386517157345</v>
      </c>
      <c r="AH89" s="106">
        <f t="shared" si="51"/>
        <v>0.324010565820992</v>
      </c>
      <c r="AI89" s="107">
        <f t="shared" si="62"/>
        <v>0.388049217536726</v>
      </c>
      <c r="AJ89" s="105">
        <f t="shared" si="63"/>
        <v>1.09333333333333</v>
      </c>
      <c r="AK89" s="106">
        <f t="shared" si="64"/>
        <v>2.28147640518336</v>
      </c>
      <c r="AL89" s="106">
        <f t="shared" si="65"/>
        <v>0.355333333333333</v>
      </c>
      <c r="AM89" s="106">
        <f t="shared" si="52"/>
        <v>0</v>
      </c>
      <c r="AN89" s="107">
        <f t="shared" si="66"/>
        <v>0.355333333333333</v>
      </c>
      <c r="AO89" s="105">
        <f t="shared" si="53"/>
        <v>0.0753395902538053</v>
      </c>
      <c r="AP89" s="106">
        <f t="shared" si="54"/>
        <v>0.0756</v>
      </c>
      <c r="AQ89" s="107">
        <f t="shared" si="67"/>
        <v>0.0132</v>
      </c>
      <c r="AR89" s="105">
        <f t="shared" si="68"/>
        <v>0.907522141123865</v>
      </c>
      <c r="AS89" s="106">
        <f t="shared" si="69"/>
        <v>10.9333333333333</v>
      </c>
      <c r="AT89" s="107">
        <f t="shared" si="70"/>
        <v>92.3356708214069</v>
      </c>
    </row>
    <row r="90" spans="17:46">
      <c r="Q90">
        <v>83</v>
      </c>
      <c r="R90" s="105">
        <f t="shared" si="43"/>
        <v>10</v>
      </c>
      <c r="S90" s="106">
        <f t="shared" si="44"/>
        <v>1.10666666666667</v>
      </c>
      <c r="T90" s="106">
        <f t="shared" si="45"/>
        <v>4</v>
      </c>
      <c r="U90" s="107">
        <f t="shared" si="46"/>
        <v>2.76666666666667</v>
      </c>
      <c r="V90" s="105">
        <f t="shared" si="47"/>
        <v>2</v>
      </c>
      <c r="W90" s="106">
        <f t="shared" si="48"/>
        <v>0.714285714285714</v>
      </c>
      <c r="X90" s="107">
        <f t="shared" si="49"/>
        <v>0.285714285714286</v>
      </c>
      <c r="Y90" s="105">
        <f t="shared" si="55"/>
        <v>0.868432479374729</v>
      </c>
      <c r="Z90" s="106">
        <f t="shared" si="56"/>
        <v>4.74176581270806</v>
      </c>
      <c r="AA90" s="106">
        <f t="shared" si="57"/>
        <v>2.77800150444773</v>
      </c>
      <c r="AB90" s="106">
        <v>0</v>
      </c>
      <c r="AC90" s="106">
        <f t="shared" si="58"/>
        <v>0.0771729235871386</v>
      </c>
      <c r="AD90" s="107">
        <f t="shared" si="59"/>
        <v>0.0771729235871386</v>
      </c>
      <c r="AE90" s="105">
        <f t="shared" si="60"/>
        <v>2.18698412698413</v>
      </c>
      <c r="AF90" s="106">
        <f t="shared" si="61"/>
        <v>2.77800150444773</v>
      </c>
      <c r="AG90" s="106">
        <f t="shared" si="50"/>
        <v>0.0655969850490678</v>
      </c>
      <c r="AH90" s="106">
        <f t="shared" si="51"/>
        <v>0.327961914184662</v>
      </c>
      <c r="AI90" s="107">
        <f t="shared" si="62"/>
        <v>0.39355889923373</v>
      </c>
      <c r="AJ90" s="105">
        <f t="shared" si="63"/>
        <v>1.10666666666667</v>
      </c>
      <c r="AK90" s="106">
        <f t="shared" si="64"/>
        <v>2.30637818967316</v>
      </c>
      <c r="AL90" s="106">
        <f t="shared" si="65"/>
        <v>0.359666666666667</v>
      </c>
      <c r="AM90" s="106">
        <f t="shared" si="52"/>
        <v>0</v>
      </c>
      <c r="AN90" s="107">
        <f t="shared" si="66"/>
        <v>0.359666666666667</v>
      </c>
      <c r="AO90" s="105">
        <f t="shared" si="53"/>
        <v>0.0771729235871386</v>
      </c>
      <c r="AP90" s="106">
        <f t="shared" si="54"/>
        <v>0.0756</v>
      </c>
      <c r="AQ90" s="107">
        <f t="shared" si="67"/>
        <v>0.0132</v>
      </c>
      <c r="AR90" s="105">
        <f t="shared" si="68"/>
        <v>0.919198489487536</v>
      </c>
      <c r="AS90" s="106">
        <f t="shared" si="69"/>
        <v>11.0666666666667</v>
      </c>
      <c r="AT90" s="107">
        <f t="shared" si="70"/>
        <v>92.3309792200059</v>
      </c>
    </row>
    <row r="91" spans="17:46">
      <c r="Q91">
        <v>84</v>
      </c>
      <c r="R91" s="105">
        <f t="shared" si="43"/>
        <v>10</v>
      </c>
      <c r="S91" s="106">
        <f t="shared" si="44"/>
        <v>1.12</v>
      </c>
      <c r="T91" s="106">
        <f t="shared" si="45"/>
        <v>4</v>
      </c>
      <c r="U91" s="107">
        <f t="shared" si="46"/>
        <v>2.8</v>
      </c>
      <c r="V91" s="105">
        <f t="shared" si="47"/>
        <v>2</v>
      </c>
      <c r="W91" s="106">
        <f t="shared" si="48"/>
        <v>0.714285714285714</v>
      </c>
      <c r="X91" s="107">
        <f t="shared" si="49"/>
        <v>0.285714285714286</v>
      </c>
      <c r="Y91" s="105">
        <f t="shared" si="55"/>
        <v>0.868432479374729</v>
      </c>
      <c r="Z91" s="106">
        <f t="shared" si="56"/>
        <v>4.78843247937473</v>
      </c>
      <c r="AA91" s="106">
        <f t="shared" si="57"/>
        <v>2.8112004400735</v>
      </c>
      <c r="AB91" s="106">
        <v>0</v>
      </c>
      <c r="AC91" s="106">
        <f t="shared" si="58"/>
        <v>0.0790284791426941</v>
      </c>
      <c r="AD91" s="107">
        <f t="shared" si="59"/>
        <v>0.0790284791426941</v>
      </c>
      <c r="AE91" s="105">
        <f t="shared" si="60"/>
        <v>2.24</v>
      </c>
      <c r="AF91" s="106">
        <f t="shared" si="61"/>
        <v>2.8112004400735</v>
      </c>
      <c r="AG91" s="106">
        <f t="shared" si="50"/>
        <v>0.06717420727129</v>
      </c>
      <c r="AH91" s="106">
        <f t="shared" si="51"/>
        <v>0.331913262548333</v>
      </c>
      <c r="AI91" s="107">
        <f t="shared" si="62"/>
        <v>0.399087469819623</v>
      </c>
      <c r="AJ91" s="105">
        <f t="shared" si="63"/>
        <v>1.12</v>
      </c>
      <c r="AK91" s="106">
        <f t="shared" si="64"/>
        <v>2.33128088497207</v>
      </c>
      <c r="AL91" s="106">
        <f t="shared" si="65"/>
        <v>0.364</v>
      </c>
      <c r="AM91" s="106">
        <f t="shared" si="52"/>
        <v>0</v>
      </c>
      <c r="AN91" s="107">
        <f t="shared" si="66"/>
        <v>0.364</v>
      </c>
      <c r="AO91" s="105">
        <f t="shared" si="53"/>
        <v>0.0790284791426941</v>
      </c>
      <c r="AP91" s="106">
        <f t="shared" si="54"/>
        <v>0.0756</v>
      </c>
      <c r="AQ91" s="107">
        <f t="shared" si="67"/>
        <v>0.0132</v>
      </c>
      <c r="AR91" s="105">
        <f t="shared" si="68"/>
        <v>0.930915948962317</v>
      </c>
      <c r="AS91" s="106">
        <f t="shared" si="69"/>
        <v>11.2</v>
      </c>
      <c r="AT91" s="107">
        <f t="shared" si="70"/>
        <v>92.3260868933648</v>
      </c>
    </row>
    <row r="92" spans="17:46">
      <c r="Q92">
        <v>85</v>
      </c>
      <c r="R92" s="105">
        <f t="shared" si="43"/>
        <v>10</v>
      </c>
      <c r="S92" s="106">
        <f t="shared" si="44"/>
        <v>1.13333333333333</v>
      </c>
      <c r="T92" s="106">
        <f t="shared" si="45"/>
        <v>4</v>
      </c>
      <c r="U92" s="107">
        <f t="shared" si="46"/>
        <v>2.83333333333333</v>
      </c>
      <c r="V92" s="105">
        <f t="shared" si="47"/>
        <v>2</v>
      </c>
      <c r="W92" s="106">
        <f t="shared" si="48"/>
        <v>0.714285714285714</v>
      </c>
      <c r="X92" s="107">
        <f t="shared" si="49"/>
        <v>0.285714285714286</v>
      </c>
      <c r="Y92" s="105">
        <f t="shared" si="55"/>
        <v>0.868432479374729</v>
      </c>
      <c r="Z92" s="106">
        <f t="shared" si="56"/>
        <v>4.8350991460414</v>
      </c>
      <c r="AA92" s="106">
        <f t="shared" si="57"/>
        <v>2.84440251934342</v>
      </c>
      <c r="AB92" s="106">
        <v>0</v>
      </c>
      <c r="AC92" s="106">
        <f t="shared" si="58"/>
        <v>0.0809062569204719</v>
      </c>
      <c r="AD92" s="107">
        <f t="shared" si="59"/>
        <v>0.0809062569204719</v>
      </c>
      <c r="AE92" s="105">
        <f t="shared" si="60"/>
        <v>2.29365079365079</v>
      </c>
      <c r="AF92" s="106">
        <f t="shared" si="61"/>
        <v>2.84440251934342</v>
      </c>
      <c r="AG92" s="106">
        <f t="shared" si="50"/>
        <v>0.0687703183824011</v>
      </c>
      <c r="AH92" s="106">
        <f t="shared" si="51"/>
        <v>0.335864610912004</v>
      </c>
      <c r="AI92" s="107">
        <f t="shared" si="62"/>
        <v>0.404634929294405</v>
      </c>
      <c r="AJ92" s="105">
        <f t="shared" si="63"/>
        <v>1.13333333333333</v>
      </c>
      <c r="AK92" s="106">
        <f t="shared" si="64"/>
        <v>2.35618446220085</v>
      </c>
      <c r="AL92" s="106">
        <f t="shared" si="65"/>
        <v>0.368333333333333</v>
      </c>
      <c r="AM92" s="106">
        <f t="shared" si="52"/>
        <v>0</v>
      </c>
      <c r="AN92" s="107">
        <f t="shared" si="66"/>
        <v>0.368333333333333</v>
      </c>
      <c r="AO92" s="105">
        <f t="shared" si="53"/>
        <v>0.0809062569204719</v>
      </c>
      <c r="AP92" s="106">
        <f t="shared" si="54"/>
        <v>0.0756</v>
      </c>
      <c r="AQ92" s="107">
        <f t="shared" si="67"/>
        <v>0.0132</v>
      </c>
      <c r="AR92" s="105">
        <f t="shared" si="68"/>
        <v>0.94267451954821</v>
      </c>
      <c r="AS92" s="106">
        <f t="shared" si="69"/>
        <v>11.3333333333333</v>
      </c>
      <c r="AT92" s="107">
        <f t="shared" si="70"/>
        <v>92.3210010058202</v>
      </c>
    </row>
    <row r="93" spans="17:46">
      <c r="Q93">
        <v>86</v>
      </c>
      <c r="R93" s="105">
        <f t="shared" si="43"/>
        <v>10</v>
      </c>
      <c r="S93" s="106">
        <f t="shared" si="44"/>
        <v>1.14666666666667</v>
      </c>
      <c r="T93" s="106">
        <f t="shared" si="45"/>
        <v>4</v>
      </c>
      <c r="U93" s="107">
        <f t="shared" si="46"/>
        <v>2.86666666666667</v>
      </c>
      <c r="V93" s="105">
        <f t="shared" si="47"/>
        <v>2</v>
      </c>
      <c r="W93" s="106">
        <f t="shared" si="48"/>
        <v>0.714285714285714</v>
      </c>
      <c r="X93" s="107">
        <f t="shared" si="49"/>
        <v>0.285714285714286</v>
      </c>
      <c r="Y93" s="105">
        <f t="shared" si="55"/>
        <v>0.868432479374729</v>
      </c>
      <c r="Z93" s="106">
        <f t="shared" si="56"/>
        <v>4.88176581270806</v>
      </c>
      <c r="AA93" s="106">
        <f t="shared" si="57"/>
        <v>2.87760763344261</v>
      </c>
      <c r="AB93" s="106">
        <v>0</v>
      </c>
      <c r="AC93" s="106">
        <f t="shared" si="58"/>
        <v>0.0828062569204719</v>
      </c>
      <c r="AD93" s="107">
        <f t="shared" si="59"/>
        <v>0.0828062569204719</v>
      </c>
      <c r="AE93" s="105">
        <f t="shared" si="60"/>
        <v>2.34793650793651</v>
      </c>
      <c r="AF93" s="106">
        <f t="shared" si="61"/>
        <v>2.87760763344261</v>
      </c>
      <c r="AG93" s="106">
        <f t="shared" si="50"/>
        <v>0.0703853183824011</v>
      </c>
      <c r="AH93" s="106">
        <f t="shared" si="51"/>
        <v>0.339815959275674</v>
      </c>
      <c r="AI93" s="107">
        <f t="shared" si="62"/>
        <v>0.410201277658075</v>
      </c>
      <c r="AJ93" s="105">
        <f t="shared" si="63"/>
        <v>1.14666666666667</v>
      </c>
      <c r="AK93" s="106">
        <f t="shared" si="64"/>
        <v>2.38108889368745</v>
      </c>
      <c r="AL93" s="106">
        <f t="shared" si="65"/>
        <v>0.372666666666667</v>
      </c>
      <c r="AM93" s="106">
        <f t="shared" si="52"/>
        <v>0</v>
      </c>
      <c r="AN93" s="107">
        <f t="shared" si="66"/>
        <v>0.372666666666667</v>
      </c>
      <c r="AO93" s="105">
        <f t="shared" si="53"/>
        <v>0.0828062569204719</v>
      </c>
      <c r="AP93" s="106">
        <f t="shared" si="54"/>
        <v>0.0756</v>
      </c>
      <c r="AQ93" s="107">
        <f t="shared" si="67"/>
        <v>0.0132</v>
      </c>
      <c r="AR93" s="105">
        <f t="shared" si="68"/>
        <v>0.954474201245214</v>
      </c>
      <c r="AS93" s="106">
        <f t="shared" si="69"/>
        <v>11.4666666666667</v>
      </c>
      <c r="AT93" s="107">
        <f t="shared" si="70"/>
        <v>92.3157283908521</v>
      </c>
    </row>
    <row r="94" spans="17:46">
      <c r="Q94">
        <v>87</v>
      </c>
      <c r="R94" s="105">
        <f t="shared" si="43"/>
        <v>10</v>
      </c>
      <c r="S94" s="106">
        <f t="shared" si="44"/>
        <v>1.16</v>
      </c>
      <c r="T94" s="106">
        <f t="shared" si="45"/>
        <v>4</v>
      </c>
      <c r="U94" s="107">
        <f t="shared" si="46"/>
        <v>2.9</v>
      </c>
      <c r="V94" s="105">
        <f t="shared" si="47"/>
        <v>2</v>
      </c>
      <c r="W94" s="106">
        <f t="shared" si="48"/>
        <v>0.714285714285714</v>
      </c>
      <c r="X94" s="107">
        <f t="shared" si="49"/>
        <v>0.285714285714286</v>
      </c>
      <c r="Y94" s="105">
        <f t="shared" si="55"/>
        <v>0.868432479374729</v>
      </c>
      <c r="Z94" s="106">
        <f t="shared" si="56"/>
        <v>4.92843247937473</v>
      </c>
      <c r="AA94" s="106">
        <f t="shared" si="57"/>
        <v>2.91081567851168</v>
      </c>
      <c r="AB94" s="106">
        <v>0</v>
      </c>
      <c r="AC94" s="106">
        <f t="shared" si="58"/>
        <v>0.0847284791426941</v>
      </c>
      <c r="AD94" s="107">
        <f t="shared" si="59"/>
        <v>0.0847284791426941</v>
      </c>
      <c r="AE94" s="105">
        <f t="shared" si="60"/>
        <v>2.40285714285714</v>
      </c>
      <c r="AF94" s="106">
        <f t="shared" si="61"/>
        <v>2.91081567851168</v>
      </c>
      <c r="AG94" s="106">
        <f t="shared" si="50"/>
        <v>0.07201920727129</v>
      </c>
      <c r="AH94" s="106">
        <f t="shared" si="51"/>
        <v>0.343767307639345</v>
      </c>
      <c r="AI94" s="107">
        <f t="shared" si="62"/>
        <v>0.415786514910635</v>
      </c>
      <c r="AJ94" s="105">
        <f t="shared" si="63"/>
        <v>1.16</v>
      </c>
      <c r="AK94" s="106">
        <f t="shared" si="64"/>
        <v>2.40599415290461</v>
      </c>
      <c r="AL94" s="106">
        <f t="shared" si="65"/>
        <v>0.377</v>
      </c>
      <c r="AM94" s="106">
        <f t="shared" si="52"/>
        <v>0</v>
      </c>
      <c r="AN94" s="107">
        <f t="shared" si="66"/>
        <v>0.377</v>
      </c>
      <c r="AO94" s="105">
        <f t="shared" si="53"/>
        <v>0.0847284791426941</v>
      </c>
      <c r="AP94" s="106">
        <f t="shared" si="54"/>
        <v>0.0756</v>
      </c>
      <c r="AQ94" s="107">
        <f t="shared" si="67"/>
        <v>0.0132</v>
      </c>
      <c r="AR94" s="105">
        <f t="shared" si="68"/>
        <v>0.966314994053329</v>
      </c>
      <c r="AS94" s="106">
        <f t="shared" si="69"/>
        <v>11.6</v>
      </c>
      <c r="AT94" s="107">
        <f t="shared" si="70"/>
        <v>92.3102755699613</v>
      </c>
    </row>
    <row r="95" spans="17:46">
      <c r="Q95">
        <v>88</v>
      </c>
      <c r="R95" s="105">
        <f t="shared" si="43"/>
        <v>10</v>
      </c>
      <c r="S95" s="106">
        <f t="shared" si="44"/>
        <v>1.17333333333333</v>
      </c>
      <c r="T95" s="106">
        <f t="shared" si="45"/>
        <v>4</v>
      </c>
      <c r="U95" s="107">
        <f t="shared" si="46"/>
        <v>2.93333333333333</v>
      </c>
      <c r="V95" s="105">
        <f t="shared" si="47"/>
        <v>2</v>
      </c>
      <c r="W95" s="106">
        <f t="shared" si="48"/>
        <v>0.714285714285714</v>
      </c>
      <c r="X95" s="107">
        <f t="shared" si="49"/>
        <v>0.285714285714286</v>
      </c>
      <c r="Y95" s="105">
        <f t="shared" si="55"/>
        <v>0.868432479374729</v>
      </c>
      <c r="Z95" s="106">
        <f t="shared" si="56"/>
        <v>4.9750991460414</v>
      </c>
      <c r="AA95" s="106">
        <f t="shared" si="57"/>
        <v>2.94402655536832</v>
      </c>
      <c r="AB95" s="106">
        <v>0</v>
      </c>
      <c r="AC95" s="106">
        <f t="shared" si="58"/>
        <v>0.0866729235871386</v>
      </c>
      <c r="AD95" s="107">
        <f t="shared" si="59"/>
        <v>0.0866729235871386</v>
      </c>
      <c r="AE95" s="105">
        <f t="shared" si="60"/>
        <v>2.4584126984127</v>
      </c>
      <c r="AF95" s="106">
        <f t="shared" si="61"/>
        <v>2.94402655536832</v>
      </c>
      <c r="AG95" s="106">
        <f t="shared" si="50"/>
        <v>0.0736719850490678</v>
      </c>
      <c r="AH95" s="106">
        <f t="shared" si="51"/>
        <v>0.347718656003016</v>
      </c>
      <c r="AI95" s="107">
        <f t="shared" si="62"/>
        <v>0.421390641052083</v>
      </c>
      <c r="AJ95" s="105">
        <f t="shared" si="63"/>
        <v>1.17333333333333</v>
      </c>
      <c r="AK95" s="106">
        <f t="shared" si="64"/>
        <v>2.43090021441133</v>
      </c>
      <c r="AL95" s="106">
        <f t="shared" si="65"/>
        <v>0.381333333333333</v>
      </c>
      <c r="AM95" s="106">
        <f t="shared" si="52"/>
        <v>0</v>
      </c>
      <c r="AN95" s="107">
        <f t="shared" si="66"/>
        <v>0.381333333333333</v>
      </c>
      <c r="AO95" s="105">
        <f t="shared" si="53"/>
        <v>0.0866729235871386</v>
      </c>
      <c r="AP95" s="106">
        <f t="shared" si="54"/>
        <v>0.0756</v>
      </c>
      <c r="AQ95" s="107">
        <f t="shared" si="67"/>
        <v>0.0132</v>
      </c>
      <c r="AR95" s="105">
        <f t="shared" si="68"/>
        <v>0.978196897972555</v>
      </c>
      <c r="AS95" s="106">
        <f t="shared" si="69"/>
        <v>11.7333333333333</v>
      </c>
      <c r="AT95" s="107">
        <f t="shared" si="70"/>
        <v>92.304648770268</v>
      </c>
    </row>
    <row r="96" spans="17:46">
      <c r="Q96">
        <v>89</v>
      </c>
      <c r="R96" s="105">
        <f t="shared" si="43"/>
        <v>10</v>
      </c>
      <c r="S96" s="106">
        <f t="shared" si="44"/>
        <v>1.18666666666667</v>
      </c>
      <c r="T96" s="106">
        <f t="shared" si="45"/>
        <v>4</v>
      </c>
      <c r="U96" s="107">
        <f t="shared" si="46"/>
        <v>2.96666666666667</v>
      </c>
      <c r="V96" s="105">
        <f t="shared" si="47"/>
        <v>2</v>
      </c>
      <c r="W96" s="106">
        <f t="shared" si="48"/>
        <v>0.714285714285714</v>
      </c>
      <c r="X96" s="107">
        <f t="shared" si="49"/>
        <v>0.285714285714286</v>
      </c>
      <c r="Y96" s="105">
        <f t="shared" si="55"/>
        <v>0.868432479374729</v>
      </c>
      <c r="Z96" s="106">
        <f t="shared" si="56"/>
        <v>5.02176581270806</v>
      </c>
      <c r="AA96" s="106">
        <f t="shared" si="57"/>
        <v>2.97724016924744</v>
      </c>
      <c r="AB96" s="106">
        <v>0</v>
      </c>
      <c r="AC96" s="106">
        <f t="shared" si="58"/>
        <v>0.0886395902538052</v>
      </c>
      <c r="AD96" s="107">
        <f t="shared" si="59"/>
        <v>0.0886395902538052</v>
      </c>
      <c r="AE96" s="105">
        <f t="shared" si="60"/>
        <v>2.51460317460317</v>
      </c>
      <c r="AF96" s="106">
        <f t="shared" si="61"/>
        <v>2.97724016924744</v>
      </c>
      <c r="AG96" s="106">
        <f t="shared" si="50"/>
        <v>0.0753436517157345</v>
      </c>
      <c r="AH96" s="106">
        <f t="shared" si="51"/>
        <v>0.351670004366686</v>
      </c>
      <c r="AI96" s="107">
        <f t="shared" si="62"/>
        <v>0.427013656082421</v>
      </c>
      <c r="AJ96" s="105">
        <f t="shared" si="63"/>
        <v>1.18666666666667</v>
      </c>
      <c r="AK96" s="106">
        <f t="shared" si="64"/>
        <v>2.45580705379787</v>
      </c>
      <c r="AL96" s="106">
        <f t="shared" si="65"/>
        <v>0.385666666666667</v>
      </c>
      <c r="AM96" s="106">
        <f t="shared" si="52"/>
        <v>0</v>
      </c>
      <c r="AN96" s="107">
        <f t="shared" si="66"/>
        <v>0.385666666666667</v>
      </c>
      <c r="AO96" s="105">
        <f t="shared" si="53"/>
        <v>0.0886395902538052</v>
      </c>
      <c r="AP96" s="106">
        <f t="shared" si="54"/>
        <v>0.0756</v>
      </c>
      <c r="AQ96" s="107">
        <f t="shared" si="67"/>
        <v>0.0132</v>
      </c>
      <c r="AR96" s="105">
        <f t="shared" si="68"/>
        <v>0.990119913002893</v>
      </c>
      <c r="AS96" s="106">
        <f t="shared" si="69"/>
        <v>11.8666666666667</v>
      </c>
      <c r="AT96" s="107">
        <f t="shared" si="70"/>
        <v>92.2988539409329</v>
      </c>
    </row>
    <row r="97" spans="17:46">
      <c r="Q97">
        <v>90</v>
      </c>
      <c r="R97" s="105">
        <f t="shared" si="43"/>
        <v>10</v>
      </c>
      <c r="S97" s="106">
        <f t="shared" si="44"/>
        <v>1.2</v>
      </c>
      <c r="T97" s="106">
        <f t="shared" si="45"/>
        <v>4</v>
      </c>
      <c r="U97" s="107">
        <f t="shared" si="46"/>
        <v>3</v>
      </c>
      <c r="V97" s="105">
        <f t="shared" si="47"/>
        <v>2</v>
      </c>
      <c r="W97" s="106">
        <f t="shared" si="48"/>
        <v>0.714285714285714</v>
      </c>
      <c r="X97" s="107">
        <f t="shared" si="49"/>
        <v>0.285714285714286</v>
      </c>
      <c r="Y97" s="105">
        <f t="shared" si="55"/>
        <v>0.868432479374729</v>
      </c>
      <c r="Z97" s="106">
        <f t="shared" si="56"/>
        <v>5.06843247937473</v>
      </c>
      <c r="AA97" s="106">
        <f t="shared" si="57"/>
        <v>3.01045642955838</v>
      </c>
      <c r="AB97" s="106">
        <v>0</v>
      </c>
      <c r="AC97" s="106">
        <f t="shared" si="58"/>
        <v>0.0906284791426942</v>
      </c>
      <c r="AD97" s="107">
        <f t="shared" si="59"/>
        <v>0.0906284791426942</v>
      </c>
      <c r="AE97" s="105">
        <f t="shared" si="60"/>
        <v>2.57142857142857</v>
      </c>
      <c r="AF97" s="106">
        <f t="shared" si="61"/>
        <v>3.01045642955838</v>
      </c>
      <c r="AG97" s="106">
        <f t="shared" si="50"/>
        <v>0.07703420727129</v>
      </c>
      <c r="AH97" s="106">
        <f t="shared" si="51"/>
        <v>0.355621352730357</v>
      </c>
      <c r="AI97" s="107">
        <f t="shared" si="62"/>
        <v>0.432655560001647</v>
      </c>
      <c r="AJ97" s="105">
        <f t="shared" si="63"/>
        <v>1.2</v>
      </c>
      <c r="AK97" s="106">
        <f t="shared" si="64"/>
        <v>2.48071464763405</v>
      </c>
      <c r="AL97" s="106">
        <f t="shared" si="65"/>
        <v>0.39</v>
      </c>
      <c r="AM97" s="106">
        <f t="shared" si="52"/>
        <v>0</v>
      </c>
      <c r="AN97" s="107">
        <f t="shared" si="66"/>
        <v>0.39</v>
      </c>
      <c r="AO97" s="105">
        <f t="shared" si="53"/>
        <v>0.0906284791426942</v>
      </c>
      <c r="AP97" s="106">
        <f t="shared" si="54"/>
        <v>0.0756</v>
      </c>
      <c r="AQ97" s="107">
        <f t="shared" si="67"/>
        <v>0.0132</v>
      </c>
      <c r="AR97" s="105">
        <f t="shared" si="68"/>
        <v>1.00208403914434</v>
      </c>
      <c r="AS97" s="106">
        <f t="shared" si="69"/>
        <v>12</v>
      </c>
      <c r="AT97" s="107">
        <f t="shared" si="70"/>
        <v>92.2928967684915</v>
      </c>
    </row>
    <row r="98" spans="17:46">
      <c r="Q98">
        <v>91</v>
      </c>
      <c r="R98" s="105">
        <f t="shared" si="43"/>
        <v>10</v>
      </c>
      <c r="S98" s="106">
        <f t="shared" si="44"/>
        <v>1.21333333333333</v>
      </c>
      <c r="T98" s="106">
        <f t="shared" si="45"/>
        <v>4</v>
      </c>
      <c r="U98" s="107">
        <f t="shared" si="46"/>
        <v>3.03333333333333</v>
      </c>
      <c r="V98" s="105">
        <f t="shared" si="47"/>
        <v>2</v>
      </c>
      <c r="W98" s="106">
        <f t="shared" si="48"/>
        <v>0.714285714285714</v>
      </c>
      <c r="X98" s="107">
        <f t="shared" si="49"/>
        <v>0.285714285714286</v>
      </c>
      <c r="Y98" s="105">
        <f t="shared" si="55"/>
        <v>0.868432479374729</v>
      </c>
      <c r="Z98" s="106">
        <f t="shared" si="56"/>
        <v>5.11509914604139</v>
      </c>
      <c r="AA98" s="106">
        <f t="shared" si="57"/>
        <v>3.04367524965797</v>
      </c>
      <c r="AB98" s="106">
        <v>0</v>
      </c>
      <c r="AC98" s="106">
        <f t="shared" si="58"/>
        <v>0.0926395902538052</v>
      </c>
      <c r="AD98" s="107">
        <f t="shared" si="59"/>
        <v>0.0926395902538052</v>
      </c>
      <c r="AE98" s="105">
        <f t="shared" si="60"/>
        <v>2.62888888888889</v>
      </c>
      <c r="AF98" s="106">
        <f t="shared" si="61"/>
        <v>3.04367524965797</v>
      </c>
      <c r="AG98" s="106">
        <f t="shared" si="50"/>
        <v>0.0787436517157345</v>
      </c>
      <c r="AH98" s="106">
        <f t="shared" si="51"/>
        <v>0.359572701094028</v>
      </c>
      <c r="AI98" s="107">
        <f t="shared" si="62"/>
        <v>0.438316352809762</v>
      </c>
      <c r="AJ98" s="105">
        <f t="shared" si="63"/>
        <v>1.21333333333333</v>
      </c>
      <c r="AK98" s="106">
        <f t="shared" si="64"/>
        <v>2.50562297342065</v>
      </c>
      <c r="AL98" s="106">
        <f t="shared" si="65"/>
        <v>0.394333333333333</v>
      </c>
      <c r="AM98" s="106">
        <f t="shared" si="52"/>
        <v>0</v>
      </c>
      <c r="AN98" s="107">
        <f t="shared" si="66"/>
        <v>0.394333333333333</v>
      </c>
      <c r="AO98" s="105">
        <f t="shared" si="53"/>
        <v>0.0926395902538052</v>
      </c>
      <c r="AP98" s="106">
        <f t="shared" si="54"/>
        <v>0.0756</v>
      </c>
      <c r="AQ98" s="107">
        <f t="shared" si="67"/>
        <v>0.0132</v>
      </c>
      <c r="AR98" s="105">
        <f t="shared" si="68"/>
        <v>1.0140892763969</v>
      </c>
      <c r="AS98" s="106">
        <f t="shared" si="69"/>
        <v>12.1333333333333</v>
      </c>
      <c r="AT98" s="107">
        <f t="shared" si="70"/>
        <v>92.286782691184</v>
      </c>
    </row>
    <row r="99" spans="17:46">
      <c r="Q99">
        <v>92</v>
      </c>
      <c r="R99" s="105">
        <f t="shared" si="43"/>
        <v>10</v>
      </c>
      <c r="S99" s="106">
        <f t="shared" si="44"/>
        <v>1.22666666666667</v>
      </c>
      <c r="T99" s="106">
        <f t="shared" si="45"/>
        <v>4</v>
      </c>
      <c r="U99" s="107">
        <f t="shared" si="46"/>
        <v>3.06666666666667</v>
      </c>
      <c r="V99" s="105">
        <f t="shared" si="47"/>
        <v>2</v>
      </c>
      <c r="W99" s="106">
        <f t="shared" si="48"/>
        <v>0.714285714285714</v>
      </c>
      <c r="X99" s="107">
        <f t="shared" si="49"/>
        <v>0.285714285714286</v>
      </c>
      <c r="Y99" s="105">
        <f t="shared" si="55"/>
        <v>0.868432479374729</v>
      </c>
      <c r="Z99" s="106">
        <f t="shared" si="56"/>
        <v>5.16176581270806</v>
      </c>
      <c r="AA99" s="106">
        <f t="shared" si="57"/>
        <v>3.07689654663816</v>
      </c>
      <c r="AB99" s="106">
        <v>0</v>
      </c>
      <c r="AC99" s="106">
        <f t="shared" si="58"/>
        <v>0.0946729235871386</v>
      </c>
      <c r="AD99" s="107">
        <f t="shared" si="59"/>
        <v>0.0946729235871386</v>
      </c>
      <c r="AE99" s="105">
        <f t="shared" si="60"/>
        <v>2.68698412698413</v>
      </c>
      <c r="AF99" s="106">
        <f t="shared" si="61"/>
        <v>3.07689654663816</v>
      </c>
      <c r="AG99" s="106">
        <f t="shared" si="50"/>
        <v>0.0804719850490678</v>
      </c>
      <c r="AH99" s="106">
        <f t="shared" si="51"/>
        <v>0.363524049457698</v>
      </c>
      <c r="AI99" s="107">
        <f t="shared" si="62"/>
        <v>0.443996034506766</v>
      </c>
      <c r="AJ99" s="105">
        <f t="shared" si="63"/>
        <v>1.22666666666667</v>
      </c>
      <c r="AK99" s="106">
        <f t="shared" si="64"/>
        <v>2.53053200954365</v>
      </c>
      <c r="AL99" s="106">
        <f t="shared" si="65"/>
        <v>0.398666666666667</v>
      </c>
      <c r="AM99" s="106">
        <f t="shared" si="52"/>
        <v>0</v>
      </c>
      <c r="AN99" s="107">
        <f t="shared" si="66"/>
        <v>0.398666666666667</v>
      </c>
      <c r="AO99" s="105">
        <f t="shared" si="53"/>
        <v>0.0946729235871386</v>
      </c>
      <c r="AP99" s="106">
        <f t="shared" si="54"/>
        <v>0.0756</v>
      </c>
      <c r="AQ99" s="107">
        <f t="shared" si="67"/>
        <v>0.0132</v>
      </c>
      <c r="AR99" s="105">
        <f t="shared" si="68"/>
        <v>1.02613562476057</v>
      </c>
      <c r="AS99" s="106">
        <f t="shared" si="69"/>
        <v>12.2666666666667</v>
      </c>
      <c r="AT99" s="107">
        <f t="shared" si="70"/>
        <v>92.2805169123568</v>
      </c>
    </row>
    <row r="100" spans="17:46">
      <c r="Q100">
        <v>93</v>
      </c>
      <c r="R100" s="105">
        <f t="shared" si="43"/>
        <v>10</v>
      </c>
      <c r="S100" s="106">
        <f t="shared" si="44"/>
        <v>1.24</v>
      </c>
      <c r="T100" s="106">
        <f t="shared" si="45"/>
        <v>4</v>
      </c>
      <c r="U100" s="107">
        <f t="shared" si="46"/>
        <v>3.1</v>
      </c>
      <c r="V100" s="105">
        <f t="shared" si="47"/>
        <v>2</v>
      </c>
      <c r="W100" s="106">
        <f t="shared" si="48"/>
        <v>0.714285714285714</v>
      </c>
      <c r="X100" s="107">
        <f t="shared" si="49"/>
        <v>0.285714285714286</v>
      </c>
      <c r="Y100" s="105">
        <f t="shared" si="55"/>
        <v>0.868432479374729</v>
      </c>
      <c r="Z100" s="106">
        <f t="shared" si="56"/>
        <v>5.20843247937473</v>
      </c>
      <c r="AA100" s="106">
        <f t="shared" si="57"/>
        <v>3.11012024112725</v>
      </c>
      <c r="AB100" s="106">
        <v>0</v>
      </c>
      <c r="AC100" s="106">
        <f t="shared" si="58"/>
        <v>0.0967284791426941</v>
      </c>
      <c r="AD100" s="107">
        <f t="shared" si="59"/>
        <v>0.0967284791426941</v>
      </c>
      <c r="AE100" s="105">
        <f t="shared" si="60"/>
        <v>2.74571428571429</v>
      </c>
      <c r="AF100" s="106">
        <f t="shared" si="61"/>
        <v>3.11012024112725</v>
      </c>
      <c r="AG100" s="106">
        <f t="shared" si="50"/>
        <v>0.08221920727129</v>
      </c>
      <c r="AH100" s="106">
        <f t="shared" si="51"/>
        <v>0.367475397821369</v>
      </c>
      <c r="AI100" s="107">
        <f t="shared" si="62"/>
        <v>0.449694605092659</v>
      </c>
      <c r="AJ100" s="105">
        <f t="shared" si="63"/>
        <v>1.24</v>
      </c>
      <c r="AK100" s="106">
        <f t="shared" si="64"/>
        <v>2.55544173523114</v>
      </c>
      <c r="AL100" s="106">
        <f t="shared" si="65"/>
        <v>0.403</v>
      </c>
      <c r="AM100" s="106">
        <f t="shared" si="52"/>
        <v>0</v>
      </c>
      <c r="AN100" s="107">
        <f t="shared" si="66"/>
        <v>0.403</v>
      </c>
      <c r="AO100" s="105">
        <f t="shared" si="53"/>
        <v>0.0967284791426941</v>
      </c>
      <c r="AP100" s="106">
        <f t="shared" si="54"/>
        <v>0.0756</v>
      </c>
      <c r="AQ100" s="107">
        <f t="shared" si="67"/>
        <v>0.0132</v>
      </c>
      <c r="AR100" s="105">
        <f t="shared" si="68"/>
        <v>1.03822308423535</v>
      </c>
      <c r="AS100" s="106">
        <f t="shared" si="69"/>
        <v>12.4</v>
      </c>
      <c r="AT100" s="107">
        <f t="shared" si="70"/>
        <v>92.274104413006</v>
      </c>
    </row>
    <row r="101" spans="17:46">
      <c r="Q101">
        <v>94</v>
      </c>
      <c r="R101" s="105">
        <f t="shared" si="43"/>
        <v>10</v>
      </c>
      <c r="S101" s="106">
        <f t="shared" si="44"/>
        <v>1.25333333333333</v>
      </c>
      <c r="T101" s="106">
        <f t="shared" si="45"/>
        <v>4</v>
      </c>
      <c r="U101" s="107">
        <f t="shared" si="46"/>
        <v>3.13333333333333</v>
      </c>
      <c r="V101" s="105">
        <f t="shared" si="47"/>
        <v>2</v>
      </c>
      <c r="W101" s="106">
        <f t="shared" si="48"/>
        <v>0.714285714285714</v>
      </c>
      <c r="X101" s="107">
        <f t="shared" si="49"/>
        <v>0.285714285714286</v>
      </c>
      <c r="Y101" s="105">
        <f t="shared" si="55"/>
        <v>0.868432479374729</v>
      </c>
      <c r="Z101" s="106">
        <f t="shared" si="56"/>
        <v>5.2550991460414</v>
      </c>
      <c r="AA101" s="106">
        <f t="shared" si="57"/>
        <v>3.1433462571036</v>
      </c>
      <c r="AB101" s="106">
        <v>0</v>
      </c>
      <c r="AC101" s="106">
        <f t="shared" si="58"/>
        <v>0.0988062569204719</v>
      </c>
      <c r="AD101" s="107">
        <f t="shared" si="59"/>
        <v>0.0988062569204719</v>
      </c>
      <c r="AE101" s="105">
        <f t="shared" si="60"/>
        <v>2.80507936507937</v>
      </c>
      <c r="AF101" s="106">
        <f t="shared" si="61"/>
        <v>3.1433462571036</v>
      </c>
      <c r="AG101" s="106">
        <f t="shared" si="50"/>
        <v>0.0839853183824011</v>
      </c>
      <c r="AH101" s="106">
        <f t="shared" si="51"/>
        <v>0.371426746185039</v>
      </c>
      <c r="AI101" s="107">
        <f t="shared" si="62"/>
        <v>0.455412064567441</v>
      </c>
      <c r="AJ101" s="105">
        <f t="shared" si="63"/>
        <v>1.25333333333333</v>
      </c>
      <c r="AK101" s="106">
        <f t="shared" si="64"/>
        <v>2.58035213051275</v>
      </c>
      <c r="AL101" s="106">
        <f t="shared" si="65"/>
        <v>0.407333333333333</v>
      </c>
      <c r="AM101" s="106">
        <f t="shared" si="52"/>
        <v>0</v>
      </c>
      <c r="AN101" s="107">
        <f t="shared" si="66"/>
        <v>0.407333333333333</v>
      </c>
      <c r="AO101" s="105">
        <f t="shared" si="53"/>
        <v>0.0988062569204719</v>
      </c>
      <c r="AP101" s="106">
        <f t="shared" si="54"/>
        <v>0.0756</v>
      </c>
      <c r="AQ101" s="107">
        <f t="shared" si="67"/>
        <v>0.0132</v>
      </c>
      <c r="AR101" s="105">
        <f t="shared" si="68"/>
        <v>1.05035165482125</v>
      </c>
      <c r="AS101" s="106">
        <f t="shared" si="69"/>
        <v>12.5333333333333</v>
      </c>
      <c r="AT101" s="107">
        <f t="shared" si="70"/>
        <v>92.2675499635247</v>
      </c>
    </row>
    <row r="102" spans="17:46">
      <c r="Q102">
        <v>95</v>
      </c>
      <c r="R102" s="105">
        <f t="shared" si="43"/>
        <v>10</v>
      </c>
      <c r="S102" s="106">
        <f t="shared" si="44"/>
        <v>1.26666666666667</v>
      </c>
      <c r="T102" s="106">
        <f t="shared" si="45"/>
        <v>4</v>
      </c>
      <c r="U102" s="107">
        <f t="shared" si="46"/>
        <v>3.16666666666667</v>
      </c>
      <c r="V102" s="105">
        <f t="shared" si="47"/>
        <v>2</v>
      </c>
      <c r="W102" s="106">
        <f t="shared" si="48"/>
        <v>0.714285714285714</v>
      </c>
      <c r="X102" s="107">
        <f t="shared" si="49"/>
        <v>0.285714285714286</v>
      </c>
      <c r="Y102" s="105">
        <f t="shared" si="55"/>
        <v>0.868432479374729</v>
      </c>
      <c r="Z102" s="106">
        <f t="shared" si="56"/>
        <v>5.30176581270806</v>
      </c>
      <c r="AA102" s="106">
        <f t="shared" si="57"/>
        <v>3.17657452172103</v>
      </c>
      <c r="AB102" s="106">
        <v>0</v>
      </c>
      <c r="AC102" s="106">
        <f t="shared" si="58"/>
        <v>0.100906256920472</v>
      </c>
      <c r="AD102" s="107">
        <f t="shared" si="59"/>
        <v>0.100906256920472</v>
      </c>
      <c r="AE102" s="105">
        <f t="shared" si="60"/>
        <v>2.86507936507937</v>
      </c>
      <c r="AF102" s="106">
        <f t="shared" si="61"/>
        <v>3.17657452172103</v>
      </c>
      <c r="AG102" s="106">
        <f t="shared" si="50"/>
        <v>0.0857703183824011</v>
      </c>
      <c r="AH102" s="106">
        <f t="shared" si="51"/>
        <v>0.37537809454871</v>
      </c>
      <c r="AI102" s="107">
        <f t="shared" si="62"/>
        <v>0.461148412931111</v>
      </c>
      <c r="AJ102" s="105">
        <f t="shared" si="63"/>
        <v>1.26666666666667</v>
      </c>
      <c r="AK102" s="106">
        <f t="shared" si="64"/>
        <v>2.60526317618138</v>
      </c>
      <c r="AL102" s="106">
        <f t="shared" si="65"/>
        <v>0.411666666666667</v>
      </c>
      <c r="AM102" s="106">
        <f t="shared" si="52"/>
        <v>0</v>
      </c>
      <c r="AN102" s="107">
        <f t="shared" si="66"/>
        <v>0.411666666666667</v>
      </c>
      <c r="AO102" s="105">
        <f t="shared" si="53"/>
        <v>0.100906256920472</v>
      </c>
      <c r="AP102" s="106">
        <f t="shared" si="54"/>
        <v>0.0756</v>
      </c>
      <c r="AQ102" s="107">
        <f t="shared" si="67"/>
        <v>0.0132</v>
      </c>
      <c r="AR102" s="105">
        <f t="shared" si="68"/>
        <v>1.06252133651825</v>
      </c>
      <c r="AS102" s="106">
        <f t="shared" si="69"/>
        <v>12.6666666666667</v>
      </c>
      <c r="AT102" s="107">
        <f t="shared" si="70"/>
        <v>92.2608581347144</v>
      </c>
    </row>
    <row r="103" spans="17:46">
      <c r="Q103">
        <v>96</v>
      </c>
      <c r="R103" s="105">
        <f t="shared" si="43"/>
        <v>10</v>
      </c>
      <c r="S103" s="106">
        <f t="shared" ref="S103:S134" si="71">Q103*$O$12</f>
        <v>1.28</v>
      </c>
      <c r="T103" s="106">
        <f t="shared" si="45"/>
        <v>4</v>
      </c>
      <c r="U103" s="107">
        <f t="shared" ref="U103:U134" si="72">(R103*S103)/(T103*EFF_est)</f>
        <v>3.2</v>
      </c>
      <c r="V103" s="105">
        <f t="shared" ref="V103:V134" si="73">IF(S103&lt;((T103^2)*R103)/(2*Fsw*Lm*((T103+R103)^2)),1,2)</f>
        <v>2</v>
      </c>
      <c r="W103" s="106">
        <f t="shared" ref="W103:W134" si="74">CHOOSE(V103,SQRT(2*Lm*R103*S103*Fsw)/T103,R103/(T103+R103))</f>
        <v>0.714285714285714</v>
      </c>
      <c r="X103" s="107">
        <f t="shared" ref="X103:X134" si="75">CHOOSE(V103,(Lm*Z103*Fsw)/(R103),1-W103)</f>
        <v>0.285714285714286</v>
      </c>
      <c r="Y103" s="105">
        <f t="shared" si="55"/>
        <v>0.868432479374729</v>
      </c>
      <c r="Z103" s="106">
        <f t="shared" si="56"/>
        <v>5.34843247937473</v>
      </c>
      <c r="AA103" s="106">
        <f t="shared" si="57"/>
        <v>3.20980496514499</v>
      </c>
      <c r="AB103" s="106">
        <v>0</v>
      </c>
      <c r="AC103" s="106">
        <f t="shared" si="58"/>
        <v>0.103028479142694</v>
      </c>
      <c r="AD103" s="107">
        <f t="shared" si="59"/>
        <v>0.103028479142694</v>
      </c>
      <c r="AE103" s="105">
        <f t="shared" si="60"/>
        <v>2.92571428571429</v>
      </c>
      <c r="AF103" s="106">
        <f t="shared" si="61"/>
        <v>3.20980496514499</v>
      </c>
      <c r="AG103" s="106">
        <f t="shared" ref="AG103:AG134" si="76">(AF103^2)*RDS_on</f>
        <v>0.08757420727129</v>
      </c>
      <c r="AH103" s="106">
        <f t="shared" ref="AH103:AH134" si="77">(((R103+T103)*(U103+S103))/2)*Fsw*(tr_sw+tf_sw)</f>
        <v>0.379329442912381</v>
      </c>
      <c r="AI103" s="107">
        <f t="shared" si="62"/>
        <v>0.466903650183671</v>
      </c>
      <c r="AJ103" s="105">
        <f t="shared" si="63"/>
        <v>1.28</v>
      </c>
      <c r="AK103" s="106">
        <f t="shared" si="64"/>
        <v>2.63017485375709</v>
      </c>
      <c r="AL103" s="106">
        <f t="shared" si="65"/>
        <v>0.416</v>
      </c>
      <c r="AM103" s="106">
        <f t="shared" ref="AM103:AM134" si="78">(R103+T103+Vd_rect)*Qrr*Fsw</f>
        <v>0</v>
      </c>
      <c r="AN103" s="107">
        <f t="shared" si="66"/>
        <v>0.416</v>
      </c>
      <c r="AO103" s="105">
        <f t="shared" ref="AO103:AO134" si="79">(AF103^2)*R_cs</f>
        <v>0.103028479142694</v>
      </c>
      <c r="AP103" s="106">
        <f t="shared" si="54"/>
        <v>0.0756</v>
      </c>
      <c r="AQ103" s="107">
        <f t="shared" si="67"/>
        <v>0.0132</v>
      </c>
      <c r="AR103" s="105">
        <f t="shared" si="68"/>
        <v>1.07473212932636</v>
      </c>
      <c r="AS103" s="106">
        <f t="shared" si="69"/>
        <v>12.8</v>
      </c>
      <c r="AT103" s="107">
        <f t="shared" si="70"/>
        <v>92.2540333081115</v>
      </c>
    </row>
    <row r="104" spans="17:46">
      <c r="Q104">
        <v>97</v>
      </c>
      <c r="R104" s="105">
        <f t="shared" si="43"/>
        <v>10</v>
      </c>
      <c r="S104" s="106">
        <f t="shared" si="71"/>
        <v>1.29333333333333</v>
      </c>
      <c r="T104" s="106">
        <f t="shared" si="45"/>
        <v>4</v>
      </c>
      <c r="U104" s="107">
        <f t="shared" si="72"/>
        <v>3.23333333333333</v>
      </c>
      <c r="V104" s="105">
        <f t="shared" si="73"/>
        <v>2</v>
      </c>
      <c r="W104" s="106">
        <f t="shared" si="74"/>
        <v>0.714285714285714</v>
      </c>
      <c r="X104" s="107">
        <f t="shared" si="75"/>
        <v>0.285714285714286</v>
      </c>
      <c r="Y104" s="105">
        <f t="shared" si="55"/>
        <v>0.868432479374729</v>
      </c>
      <c r="Z104" s="106">
        <f t="shared" si="56"/>
        <v>5.3950991460414</v>
      </c>
      <c r="AA104" s="106">
        <f t="shared" si="57"/>
        <v>3.24303752039872</v>
      </c>
      <c r="AB104" s="106">
        <v>0</v>
      </c>
      <c r="AC104" s="106">
        <f t="shared" si="58"/>
        <v>0.105172923587139</v>
      </c>
      <c r="AD104" s="107">
        <f t="shared" si="59"/>
        <v>0.105172923587139</v>
      </c>
      <c r="AE104" s="105">
        <f t="shared" si="60"/>
        <v>2.98698412698413</v>
      </c>
      <c r="AF104" s="106">
        <f t="shared" si="61"/>
        <v>3.24303752039872</v>
      </c>
      <c r="AG104" s="106">
        <f t="shared" si="76"/>
        <v>0.0893969850490678</v>
      </c>
      <c r="AH104" s="106">
        <f t="shared" si="77"/>
        <v>0.383280791276051</v>
      </c>
      <c r="AI104" s="107">
        <f t="shared" si="62"/>
        <v>0.472677776325119</v>
      </c>
      <c r="AJ104" s="105">
        <f t="shared" si="63"/>
        <v>1.29333333333333</v>
      </c>
      <c r="AK104" s="106">
        <f t="shared" si="64"/>
        <v>2.65508714545305</v>
      </c>
      <c r="AL104" s="106">
        <f t="shared" si="65"/>
        <v>0.420333333333333</v>
      </c>
      <c r="AM104" s="106">
        <f t="shared" si="78"/>
        <v>0</v>
      </c>
      <c r="AN104" s="107">
        <f t="shared" si="66"/>
        <v>0.420333333333333</v>
      </c>
      <c r="AO104" s="105">
        <f t="shared" si="79"/>
        <v>0.105172923587139</v>
      </c>
      <c r="AP104" s="106">
        <f t="shared" si="54"/>
        <v>0.0756</v>
      </c>
      <c r="AQ104" s="107">
        <f t="shared" si="67"/>
        <v>0.0132</v>
      </c>
      <c r="AR104" s="105">
        <f t="shared" si="68"/>
        <v>1.08698403324559</v>
      </c>
      <c r="AS104" s="106">
        <f t="shared" si="69"/>
        <v>12.9333333333333</v>
      </c>
      <c r="AT104" s="107">
        <f t="shared" si="70"/>
        <v>92.2470796856803</v>
      </c>
    </row>
    <row r="105" spans="17:46">
      <c r="Q105">
        <v>98</v>
      </c>
      <c r="R105" s="105">
        <f t="shared" si="43"/>
        <v>10</v>
      </c>
      <c r="S105" s="106">
        <f t="shared" si="71"/>
        <v>1.30666666666667</v>
      </c>
      <c r="T105" s="106">
        <f t="shared" si="45"/>
        <v>4</v>
      </c>
      <c r="U105" s="107">
        <f t="shared" si="72"/>
        <v>3.26666666666667</v>
      </c>
      <c r="V105" s="105">
        <f t="shared" si="73"/>
        <v>2</v>
      </c>
      <c r="W105" s="106">
        <f t="shared" si="74"/>
        <v>0.714285714285714</v>
      </c>
      <c r="X105" s="107">
        <f t="shared" si="75"/>
        <v>0.285714285714286</v>
      </c>
      <c r="Y105" s="105">
        <f t="shared" si="55"/>
        <v>0.868432479374729</v>
      </c>
      <c r="Z105" s="106">
        <f t="shared" si="56"/>
        <v>5.44176581270806</v>
      </c>
      <c r="AA105" s="106">
        <f t="shared" si="57"/>
        <v>3.27627212321878</v>
      </c>
      <c r="AB105" s="106">
        <v>0</v>
      </c>
      <c r="AC105" s="106">
        <f t="shared" si="58"/>
        <v>0.107339590253805</v>
      </c>
      <c r="AD105" s="107">
        <f t="shared" si="59"/>
        <v>0.107339590253805</v>
      </c>
      <c r="AE105" s="105">
        <f t="shared" si="60"/>
        <v>3.04888888888889</v>
      </c>
      <c r="AF105" s="106">
        <f t="shared" si="61"/>
        <v>3.27627212321878</v>
      </c>
      <c r="AG105" s="106">
        <f t="shared" si="76"/>
        <v>0.0912386517157344</v>
      </c>
      <c r="AH105" s="106">
        <f t="shared" si="77"/>
        <v>0.387232139639722</v>
      </c>
      <c r="AI105" s="107">
        <f t="shared" si="62"/>
        <v>0.478470791355456</v>
      </c>
      <c r="AJ105" s="105">
        <f t="shared" si="63"/>
        <v>1.30666666666667</v>
      </c>
      <c r="AK105" s="106">
        <f t="shared" si="64"/>
        <v>2.68000003414335</v>
      </c>
      <c r="AL105" s="106">
        <f t="shared" si="65"/>
        <v>0.424666666666667</v>
      </c>
      <c r="AM105" s="106">
        <f t="shared" si="78"/>
        <v>0</v>
      </c>
      <c r="AN105" s="107">
        <f t="shared" si="66"/>
        <v>0.424666666666667</v>
      </c>
      <c r="AO105" s="105">
        <f t="shared" si="79"/>
        <v>0.107339590253805</v>
      </c>
      <c r="AP105" s="106">
        <f t="shared" si="54"/>
        <v>0.0756</v>
      </c>
      <c r="AQ105" s="107">
        <f t="shared" si="67"/>
        <v>0.0132</v>
      </c>
      <c r="AR105" s="105">
        <f t="shared" si="68"/>
        <v>1.09927704827593</v>
      </c>
      <c r="AS105" s="106">
        <f t="shared" si="69"/>
        <v>13.0666666666667</v>
      </c>
      <c r="AT105" s="107">
        <f t="shared" si="70"/>
        <v>92.2400012989154</v>
      </c>
    </row>
    <row r="106" spans="17:46">
      <c r="Q106">
        <v>99</v>
      </c>
      <c r="R106" s="105">
        <f t="shared" si="43"/>
        <v>10</v>
      </c>
      <c r="S106" s="106">
        <f t="shared" si="71"/>
        <v>1.32</v>
      </c>
      <c r="T106" s="106">
        <f t="shared" si="45"/>
        <v>4</v>
      </c>
      <c r="U106" s="107">
        <f t="shared" si="72"/>
        <v>3.3</v>
      </c>
      <c r="V106" s="105">
        <f t="shared" si="73"/>
        <v>2</v>
      </c>
      <c r="W106" s="106">
        <f t="shared" si="74"/>
        <v>0.714285714285714</v>
      </c>
      <c r="X106" s="107">
        <f t="shared" si="75"/>
        <v>0.285714285714286</v>
      </c>
      <c r="Y106" s="105">
        <f t="shared" si="55"/>
        <v>0.868432479374729</v>
      </c>
      <c r="Z106" s="106">
        <f t="shared" si="56"/>
        <v>5.48843247937473</v>
      </c>
      <c r="AA106" s="106">
        <f t="shared" si="57"/>
        <v>3.30950871191925</v>
      </c>
      <c r="AB106" s="106">
        <v>0</v>
      </c>
      <c r="AC106" s="106">
        <f t="shared" si="58"/>
        <v>0.109528479142694</v>
      </c>
      <c r="AD106" s="107">
        <f t="shared" si="59"/>
        <v>0.109528479142694</v>
      </c>
      <c r="AE106" s="105">
        <f t="shared" si="60"/>
        <v>3.11142857142857</v>
      </c>
      <c r="AF106" s="106">
        <f t="shared" si="61"/>
        <v>3.30950871191925</v>
      </c>
      <c r="AG106" s="106">
        <f t="shared" si="76"/>
        <v>0.09309920727129</v>
      </c>
      <c r="AH106" s="106">
        <f t="shared" si="77"/>
        <v>0.391183488003393</v>
      </c>
      <c r="AI106" s="107">
        <f t="shared" si="62"/>
        <v>0.484282695274683</v>
      </c>
      <c r="AJ106" s="105">
        <f t="shared" si="63"/>
        <v>1.32</v>
      </c>
      <c r="AK106" s="106">
        <f t="shared" si="64"/>
        <v>2.70491350333261</v>
      </c>
      <c r="AL106" s="106">
        <f t="shared" si="65"/>
        <v>0.429</v>
      </c>
      <c r="AM106" s="106">
        <f t="shared" si="78"/>
        <v>0</v>
      </c>
      <c r="AN106" s="107">
        <f t="shared" si="66"/>
        <v>0.429</v>
      </c>
      <c r="AO106" s="105">
        <f t="shared" si="79"/>
        <v>0.109528479142694</v>
      </c>
      <c r="AP106" s="106">
        <f t="shared" si="54"/>
        <v>0.0756</v>
      </c>
      <c r="AQ106" s="107">
        <f t="shared" si="67"/>
        <v>0.0132</v>
      </c>
      <c r="AR106" s="105">
        <f t="shared" si="68"/>
        <v>1.11161117441738</v>
      </c>
      <c r="AS106" s="106">
        <f t="shared" si="69"/>
        <v>13.2</v>
      </c>
      <c r="AT106" s="107">
        <f t="shared" si="70"/>
        <v>92.2328020173967</v>
      </c>
    </row>
    <row r="107" spans="17:46">
      <c r="Q107">
        <v>100</v>
      </c>
      <c r="R107" s="105">
        <f t="shared" si="43"/>
        <v>10</v>
      </c>
      <c r="S107" s="106">
        <f t="shared" si="71"/>
        <v>1.33333333333333</v>
      </c>
      <c r="T107" s="106">
        <f t="shared" si="45"/>
        <v>4</v>
      </c>
      <c r="U107" s="107">
        <f t="shared" si="72"/>
        <v>3.33333333333333</v>
      </c>
      <c r="V107" s="105">
        <f t="shared" si="73"/>
        <v>2</v>
      </c>
      <c r="W107" s="106">
        <f t="shared" si="74"/>
        <v>0.714285714285714</v>
      </c>
      <c r="X107" s="107">
        <f t="shared" si="75"/>
        <v>0.285714285714286</v>
      </c>
      <c r="Y107" s="105">
        <f t="shared" si="55"/>
        <v>0.868432479374729</v>
      </c>
      <c r="Z107" s="106">
        <f t="shared" si="56"/>
        <v>5.5350991460414</v>
      </c>
      <c r="AA107" s="106">
        <f t="shared" si="57"/>
        <v>3.3427472272639</v>
      </c>
      <c r="AB107" s="106">
        <v>0</v>
      </c>
      <c r="AC107" s="106">
        <f t="shared" si="58"/>
        <v>0.111739590253805</v>
      </c>
      <c r="AD107" s="107">
        <f t="shared" si="59"/>
        <v>0.111739590253805</v>
      </c>
      <c r="AE107" s="105">
        <f t="shared" si="60"/>
        <v>3.17460317460318</v>
      </c>
      <c r="AF107" s="106">
        <f t="shared" si="61"/>
        <v>3.3427472272639</v>
      </c>
      <c r="AG107" s="106">
        <f t="shared" si="76"/>
        <v>0.0949786517157345</v>
      </c>
      <c r="AH107" s="106">
        <f t="shared" si="77"/>
        <v>0.395134836367063</v>
      </c>
      <c r="AI107" s="107">
        <f t="shared" si="62"/>
        <v>0.490113488082798</v>
      </c>
      <c r="AJ107" s="105">
        <f t="shared" si="63"/>
        <v>1.33333333333333</v>
      </c>
      <c r="AK107" s="106">
        <f t="shared" si="64"/>
        <v>2.72982753712727</v>
      </c>
      <c r="AL107" s="106">
        <f t="shared" si="65"/>
        <v>0.433333333333333</v>
      </c>
      <c r="AM107" s="106">
        <f t="shared" si="78"/>
        <v>0</v>
      </c>
      <c r="AN107" s="107">
        <f t="shared" si="66"/>
        <v>0.433333333333333</v>
      </c>
      <c r="AO107" s="105">
        <f t="shared" si="79"/>
        <v>0.111739590253805</v>
      </c>
      <c r="AP107" s="106">
        <f t="shared" si="54"/>
        <v>0.0756</v>
      </c>
      <c r="AQ107" s="107">
        <f t="shared" si="67"/>
        <v>0.0132</v>
      </c>
      <c r="AR107" s="105">
        <f t="shared" si="68"/>
        <v>1.12398641166994</v>
      </c>
      <c r="AS107" s="106">
        <f t="shared" si="69"/>
        <v>13.3333333333333</v>
      </c>
      <c r="AT107" s="107">
        <f t="shared" si="70"/>
        <v>92.2254855568342</v>
      </c>
    </row>
    <row r="108" spans="17:46">
      <c r="Q108">
        <v>101</v>
      </c>
      <c r="R108" s="105">
        <f t="shared" si="43"/>
        <v>10</v>
      </c>
      <c r="S108" s="106">
        <f t="shared" si="71"/>
        <v>1.34666666666667</v>
      </c>
      <c r="T108" s="106">
        <f t="shared" si="45"/>
        <v>4</v>
      </c>
      <c r="U108" s="107">
        <f t="shared" si="72"/>
        <v>3.36666666666667</v>
      </c>
      <c r="V108" s="105">
        <f t="shared" si="73"/>
        <v>2</v>
      </c>
      <c r="W108" s="106">
        <f t="shared" si="74"/>
        <v>0.714285714285714</v>
      </c>
      <c r="X108" s="107">
        <f t="shared" si="75"/>
        <v>0.285714285714286</v>
      </c>
      <c r="Y108" s="105">
        <f t="shared" si="55"/>
        <v>0.868432479374729</v>
      </c>
      <c r="Z108" s="106">
        <f t="shared" si="56"/>
        <v>5.58176581270806</v>
      </c>
      <c r="AA108" s="106">
        <f t="shared" si="57"/>
        <v>3.37598761234603</v>
      </c>
      <c r="AB108" s="106">
        <v>0</v>
      </c>
      <c r="AC108" s="106">
        <f t="shared" si="58"/>
        <v>0.113972923587139</v>
      </c>
      <c r="AD108" s="107">
        <f t="shared" si="59"/>
        <v>0.113972923587139</v>
      </c>
      <c r="AE108" s="105">
        <f t="shared" si="60"/>
        <v>3.2384126984127</v>
      </c>
      <c r="AF108" s="106">
        <f t="shared" si="61"/>
        <v>3.37598761234603</v>
      </c>
      <c r="AG108" s="106">
        <f t="shared" si="76"/>
        <v>0.0968769850490678</v>
      </c>
      <c r="AH108" s="106">
        <f t="shared" si="77"/>
        <v>0.399086184730734</v>
      </c>
      <c r="AI108" s="107">
        <f t="shared" si="62"/>
        <v>0.495963169779802</v>
      </c>
      <c r="AJ108" s="105">
        <f t="shared" si="63"/>
        <v>1.34666666666667</v>
      </c>
      <c r="AK108" s="106">
        <f t="shared" si="64"/>
        <v>2.75474212020835</v>
      </c>
      <c r="AL108" s="106">
        <f t="shared" si="65"/>
        <v>0.437666666666667</v>
      </c>
      <c r="AM108" s="106">
        <f t="shared" si="78"/>
        <v>0</v>
      </c>
      <c r="AN108" s="107">
        <f t="shared" si="66"/>
        <v>0.437666666666667</v>
      </c>
      <c r="AO108" s="105">
        <f t="shared" si="79"/>
        <v>0.113972923587139</v>
      </c>
      <c r="AP108" s="106">
        <f t="shared" si="54"/>
        <v>0.0756</v>
      </c>
      <c r="AQ108" s="107">
        <f t="shared" si="67"/>
        <v>0.0132</v>
      </c>
      <c r="AR108" s="105">
        <f t="shared" si="68"/>
        <v>1.13640276003361</v>
      </c>
      <c r="AS108" s="106">
        <f t="shared" si="69"/>
        <v>13.4666666666667</v>
      </c>
      <c r="AT108" s="107">
        <f t="shared" si="70"/>
        <v>92.2180554866376</v>
      </c>
    </row>
    <row r="109" spans="17:46">
      <c r="Q109">
        <v>102</v>
      </c>
      <c r="R109" s="105">
        <f t="shared" si="43"/>
        <v>10</v>
      </c>
      <c r="S109" s="106">
        <f t="shared" si="71"/>
        <v>1.36</v>
      </c>
      <c r="T109" s="106">
        <f t="shared" si="45"/>
        <v>4</v>
      </c>
      <c r="U109" s="107">
        <f t="shared" si="72"/>
        <v>3.4</v>
      </c>
      <c r="V109" s="105">
        <f t="shared" si="73"/>
        <v>2</v>
      </c>
      <c r="W109" s="106">
        <f t="shared" si="74"/>
        <v>0.714285714285714</v>
      </c>
      <c r="X109" s="107">
        <f t="shared" si="75"/>
        <v>0.285714285714286</v>
      </c>
      <c r="Y109" s="105">
        <f t="shared" si="55"/>
        <v>0.868432479374729</v>
      </c>
      <c r="Z109" s="106">
        <f t="shared" si="56"/>
        <v>5.62843247937473</v>
      </c>
      <c r="AA109" s="106">
        <f t="shared" si="57"/>
        <v>3.40922981247516</v>
      </c>
      <c r="AB109" s="106">
        <v>0</v>
      </c>
      <c r="AC109" s="106">
        <f t="shared" si="58"/>
        <v>0.116228479142694</v>
      </c>
      <c r="AD109" s="107">
        <f t="shared" si="59"/>
        <v>0.116228479142694</v>
      </c>
      <c r="AE109" s="105">
        <f t="shared" si="60"/>
        <v>3.30285714285714</v>
      </c>
      <c r="AF109" s="106">
        <f t="shared" si="61"/>
        <v>3.40922981247516</v>
      </c>
      <c r="AG109" s="106">
        <f t="shared" si="76"/>
        <v>0.09879420727129</v>
      </c>
      <c r="AH109" s="106">
        <f t="shared" si="77"/>
        <v>0.403037533094405</v>
      </c>
      <c r="AI109" s="107">
        <f t="shared" si="62"/>
        <v>0.501831740365695</v>
      </c>
      <c r="AJ109" s="105">
        <f t="shared" si="63"/>
        <v>1.36</v>
      </c>
      <c r="AK109" s="106">
        <f t="shared" si="64"/>
        <v>2.77965723780579</v>
      </c>
      <c r="AL109" s="106">
        <f t="shared" si="65"/>
        <v>0.442</v>
      </c>
      <c r="AM109" s="106">
        <f t="shared" si="78"/>
        <v>0</v>
      </c>
      <c r="AN109" s="107">
        <f t="shared" si="66"/>
        <v>0.442</v>
      </c>
      <c r="AO109" s="105">
        <f t="shared" si="79"/>
        <v>0.116228479142694</v>
      </c>
      <c r="AP109" s="106">
        <f t="shared" si="54"/>
        <v>0.0756</v>
      </c>
      <c r="AQ109" s="107">
        <f t="shared" si="67"/>
        <v>0.0132</v>
      </c>
      <c r="AR109" s="105">
        <f t="shared" si="68"/>
        <v>1.14886021950839</v>
      </c>
      <c r="AS109" s="106">
        <f t="shared" si="69"/>
        <v>13.6</v>
      </c>
      <c r="AT109" s="107">
        <f t="shared" si="70"/>
        <v>92.2105152370433</v>
      </c>
    </row>
    <row r="110" spans="17:46">
      <c r="Q110">
        <v>103</v>
      </c>
      <c r="R110" s="105">
        <f t="shared" si="43"/>
        <v>10</v>
      </c>
      <c r="S110" s="106">
        <f t="shared" si="71"/>
        <v>1.37333333333333</v>
      </c>
      <c r="T110" s="106">
        <f t="shared" si="45"/>
        <v>4</v>
      </c>
      <c r="U110" s="107">
        <f t="shared" si="72"/>
        <v>3.43333333333333</v>
      </c>
      <c r="V110" s="105">
        <f t="shared" si="73"/>
        <v>2</v>
      </c>
      <c r="W110" s="106">
        <f t="shared" si="74"/>
        <v>0.714285714285714</v>
      </c>
      <c r="X110" s="107">
        <f t="shared" si="75"/>
        <v>0.285714285714286</v>
      </c>
      <c r="Y110" s="105">
        <f t="shared" si="55"/>
        <v>0.868432479374729</v>
      </c>
      <c r="Z110" s="106">
        <f t="shared" si="56"/>
        <v>5.6750991460414</v>
      </c>
      <c r="AA110" s="106">
        <f t="shared" si="57"/>
        <v>3.44247377507036</v>
      </c>
      <c r="AB110" s="106">
        <v>0</v>
      </c>
      <c r="AC110" s="106">
        <f t="shared" si="58"/>
        <v>0.118506256920472</v>
      </c>
      <c r="AD110" s="107">
        <f t="shared" si="59"/>
        <v>0.118506256920472</v>
      </c>
      <c r="AE110" s="105">
        <f t="shared" si="60"/>
        <v>3.36793650793651</v>
      </c>
      <c r="AF110" s="106">
        <f t="shared" si="61"/>
        <v>3.44247377507036</v>
      </c>
      <c r="AG110" s="106">
        <f t="shared" si="76"/>
        <v>0.100730318382401</v>
      </c>
      <c r="AH110" s="106">
        <f t="shared" si="77"/>
        <v>0.406988881458075</v>
      </c>
      <c r="AI110" s="107">
        <f t="shared" si="62"/>
        <v>0.507719199840476</v>
      </c>
      <c r="AJ110" s="105">
        <f t="shared" si="63"/>
        <v>1.37333333333333</v>
      </c>
      <c r="AK110" s="106">
        <f t="shared" si="64"/>
        <v>2.80457287567406</v>
      </c>
      <c r="AL110" s="106">
        <f t="shared" si="65"/>
        <v>0.446333333333333</v>
      </c>
      <c r="AM110" s="106">
        <f t="shared" si="78"/>
        <v>0</v>
      </c>
      <c r="AN110" s="107">
        <f t="shared" si="66"/>
        <v>0.446333333333333</v>
      </c>
      <c r="AO110" s="105">
        <f t="shared" si="79"/>
        <v>0.118506256920472</v>
      </c>
      <c r="AP110" s="106">
        <f t="shared" si="54"/>
        <v>0.0756</v>
      </c>
      <c r="AQ110" s="107">
        <f t="shared" si="67"/>
        <v>0.0132</v>
      </c>
      <c r="AR110" s="105">
        <f t="shared" si="68"/>
        <v>1.16135879009428</v>
      </c>
      <c r="AS110" s="106">
        <f t="shared" si="69"/>
        <v>13.7333333333333</v>
      </c>
      <c r="AT110" s="107">
        <f t="shared" si="70"/>
        <v>92.2028681058295</v>
      </c>
    </row>
    <row r="111" spans="17:46">
      <c r="Q111">
        <v>104</v>
      </c>
      <c r="R111" s="105">
        <f t="shared" si="43"/>
        <v>10</v>
      </c>
      <c r="S111" s="106">
        <f t="shared" si="71"/>
        <v>1.38666666666667</v>
      </c>
      <c r="T111" s="106">
        <f t="shared" si="45"/>
        <v>4</v>
      </c>
      <c r="U111" s="107">
        <f t="shared" si="72"/>
        <v>3.46666666666667</v>
      </c>
      <c r="V111" s="105">
        <f t="shared" si="73"/>
        <v>2</v>
      </c>
      <c r="W111" s="106">
        <f t="shared" si="74"/>
        <v>0.714285714285714</v>
      </c>
      <c r="X111" s="107">
        <f t="shared" si="75"/>
        <v>0.285714285714286</v>
      </c>
      <c r="Y111" s="105">
        <f t="shared" si="55"/>
        <v>0.868432479374729</v>
      </c>
      <c r="Z111" s="106">
        <f t="shared" si="56"/>
        <v>5.72176581270806</v>
      </c>
      <c r="AA111" s="106">
        <f t="shared" si="57"/>
        <v>3.47571944955964</v>
      </c>
      <c r="AB111" s="106">
        <v>0</v>
      </c>
      <c r="AC111" s="106">
        <f t="shared" si="58"/>
        <v>0.120806256920472</v>
      </c>
      <c r="AD111" s="107">
        <f t="shared" si="59"/>
        <v>0.120806256920472</v>
      </c>
      <c r="AE111" s="105">
        <f t="shared" si="60"/>
        <v>3.43365079365079</v>
      </c>
      <c r="AF111" s="106">
        <f t="shared" si="61"/>
        <v>3.47571944955964</v>
      </c>
      <c r="AG111" s="106">
        <f t="shared" si="76"/>
        <v>0.102685318382401</v>
      </c>
      <c r="AH111" s="106">
        <f t="shared" si="77"/>
        <v>0.410940229821746</v>
      </c>
      <c r="AI111" s="107">
        <f t="shared" si="62"/>
        <v>0.513625548204147</v>
      </c>
      <c r="AJ111" s="105">
        <f t="shared" si="63"/>
        <v>1.38666666666667</v>
      </c>
      <c r="AK111" s="106">
        <f t="shared" si="64"/>
        <v>2.82948902006911</v>
      </c>
      <c r="AL111" s="106">
        <f t="shared" si="65"/>
        <v>0.450666666666667</v>
      </c>
      <c r="AM111" s="106">
        <f t="shared" si="78"/>
        <v>0</v>
      </c>
      <c r="AN111" s="107">
        <f t="shared" si="66"/>
        <v>0.450666666666667</v>
      </c>
      <c r="AO111" s="105">
        <f t="shared" si="79"/>
        <v>0.120806256920472</v>
      </c>
      <c r="AP111" s="106">
        <f t="shared" si="54"/>
        <v>0.0756</v>
      </c>
      <c r="AQ111" s="107">
        <f t="shared" si="67"/>
        <v>0.0132</v>
      </c>
      <c r="AR111" s="105">
        <f t="shared" si="68"/>
        <v>1.17389847179129</v>
      </c>
      <c r="AS111" s="106">
        <f t="shared" si="69"/>
        <v>13.8666666666667</v>
      </c>
      <c r="AT111" s="107">
        <f t="shared" si="70"/>
        <v>92.1951172646453</v>
      </c>
    </row>
    <row r="112" spans="17:46">
      <c r="Q112">
        <v>105</v>
      </c>
      <c r="R112" s="105">
        <f t="shared" si="43"/>
        <v>10</v>
      </c>
      <c r="S112" s="106">
        <f t="shared" si="71"/>
        <v>1.4</v>
      </c>
      <c r="T112" s="106">
        <f t="shared" si="45"/>
        <v>4</v>
      </c>
      <c r="U112" s="107">
        <f t="shared" si="72"/>
        <v>3.5</v>
      </c>
      <c r="V112" s="105">
        <f t="shared" si="73"/>
        <v>2</v>
      </c>
      <c r="W112" s="106">
        <f t="shared" si="74"/>
        <v>0.714285714285714</v>
      </c>
      <c r="X112" s="107">
        <f t="shared" si="75"/>
        <v>0.285714285714286</v>
      </c>
      <c r="Y112" s="105">
        <f t="shared" si="55"/>
        <v>0.868432479374729</v>
      </c>
      <c r="Z112" s="106">
        <f t="shared" si="56"/>
        <v>5.76843247937473</v>
      </c>
      <c r="AA112" s="106">
        <f t="shared" si="57"/>
        <v>3.50896678728503</v>
      </c>
      <c r="AB112" s="106">
        <v>0</v>
      </c>
      <c r="AC112" s="106">
        <f t="shared" si="58"/>
        <v>0.123128479142694</v>
      </c>
      <c r="AD112" s="107">
        <f t="shared" si="59"/>
        <v>0.123128479142694</v>
      </c>
      <c r="AE112" s="105">
        <f t="shared" si="60"/>
        <v>3.5</v>
      </c>
      <c r="AF112" s="106">
        <f t="shared" si="61"/>
        <v>3.50896678728503</v>
      </c>
      <c r="AG112" s="106">
        <f t="shared" si="76"/>
        <v>0.10465920727129</v>
      </c>
      <c r="AH112" s="106">
        <f t="shared" si="77"/>
        <v>0.414891578185416</v>
      </c>
      <c r="AI112" s="107">
        <f t="shared" si="62"/>
        <v>0.519550785456707</v>
      </c>
      <c r="AJ112" s="105">
        <f t="shared" si="63"/>
        <v>1.4</v>
      </c>
      <c r="AK112" s="106">
        <f t="shared" si="64"/>
        <v>2.85440565772651</v>
      </c>
      <c r="AL112" s="106">
        <f t="shared" si="65"/>
        <v>0.455</v>
      </c>
      <c r="AM112" s="106">
        <f t="shared" si="78"/>
        <v>0</v>
      </c>
      <c r="AN112" s="107">
        <f t="shared" si="66"/>
        <v>0.455</v>
      </c>
      <c r="AO112" s="105">
        <f t="shared" si="79"/>
        <v>0.123128479142694</v>
      </c>
      <c r="AP112" s="106">
        <f t="shared" si="54"/>
        <v>0.0756</v>
      </c>
      <c r="AQ112" s="107">
        <f t="shared" si="67"/>
        <v>0.0132</v>
      </c>
      <c r="AR112" s="105">
        <f t="shared" si="68"/>
        <v>1.1864792645994</v>
      </c>
      <c r="AS112" s="106">
        <f t="shared" si="69"/>
        <v>14</v>
      </c>
      <c r="AT112" s="107">
        <f t="shared" si="70"/>
        <v>92.1872657649811</v>
      </c>
    </row>
    <row r="113" spans="17:46">
      <c r="Q113">
        <v>106</v>
      </c>
      <c r="R113" s="105">
        <f t="shared" si="43"/>
        <v>10</v>
      </c>
      <c r="S113" s="106">
        <f t="shared" si="71"/>
        <v>1.41333333333333</v>
      </c>
      <c r="T113" s="106">
        <f t="shared" si="45"/>
        <v>4</v>
      </c>
      <c r="U113" s="107">
        <f t="shared" si="72"/>
        <v>3.53333333333333</v>
      </c>
      <c r="V113" s="105">
        <f t="shared" si="73"/>
        <v>2</v>
      </c>
      <c r="W113" s="106">
        <f t="shared" si="74"/>
        <v>0.714285714285714</v>
      </c>
      <c r="X113" s="107">
        <f t="shared" si="75"/>
        <v>0.285714285714286</v>
      </c>
      <c r="Y113" s="105">
        <f t="shared" si="55"/>
        <v>0.868432479374729</v>
      </c>
      <c r="Z113" s="106">
        <f t="shared" si="56"/>
        <v>5.81509914604139</v>
      </c>
      <c r="AA113" s="106">
        <f t="shared" si="57"/>
        <v>3.54221574141297</v>
      </c>
      <c r="AB113" s="106">
        <v>0</v>
      </c>
      <c r="AC113" s="106">
        <f t="shared" si="58"/>
        <v>0.125472923587139</v>
      </c>
      <c r="AD113" s="107">
        <f t="shared" si="59"/>
        <v>0.125472923587139</v>
      </c>
      <c r="AE113" s="105">
        <f t="shared" si="60"/>
        <v>3.56698412698413</v>
      </c>
      <c r="AF113" s="106">
        <f t="shared" si="61"/>
        <v>3.54221574141297</v>
      </c>
      <c r="AG113" s="106">
        <f t="shared" si="76"/>
        <v>0.106651985049068</v>
      </c>
      <c r="AH113" s="106">
        <f t="shared" si="77"/>
        <v>0.418842926549087</v>
      </c>
      <c r="AI113" s="107">
        <f t="shared" si="62"/>
        <v>0.525494911598155</v>
      </c>
      <c r="AJ113" s="105">
        <f t="shared" si="63"/>
        <v>1.41333333333333</v>
      </c>
      <c r="AK113" s="106">
        <f t="shared" si="64"/>
        <v>2.8793227758407</v>
      </c>
      <c r="AL113" s="106">
        <f t="shared" si="65"/>
        <v>0.459333333333333</v>
      </c>
      <c r="AM113" s="106">
        <f t="shared" si="78"/>
        <v>0</v>
      </c>
      <c r="AN113" s="107">
        <f t="shared" si="66"/>
        <v>0.459333333333333</v>
      </c>
      <c r="AO113" s="105">
        <f t="shared" si="79"/>
        <v>0.125472923587139</v>
      </c>
      <c r="AP113" s="106">
        <f t="shared" si="54"/>
        <v>0.0756</v>
      </c>
      <c r="AQ113" s="107">
        <f t="shared" si="67"/>
        <v>0.0132</v>
      </c>
      <c r="AR113" s="105">
        <f t="shared" si="68"/>
        <v>1.19910116851863</v>
      </c>
      <c r="AS113" s="106">
        <f t="shared" si="69"/>
        <v>14.1333333333333</v>
      </c>
      <c r="AT113" s="107">
        <f t="shared" si="70"/>
        <v>92.1793165438027</v>
      </c>
    </row>
    <row r="114" spans="17:46">
      <c r="Q114">
        <v>107</v>
      </c>
      <c r="R114" s="105">
        <f t="shared" si="43"/>
        <v>10</v>
      </c>
      <c r="S114" s="106">
        <f t="shared" si="71"/>
        <v>1.42666666666667</v>
      </c>
      <c r="T114" s="106">
        <f t="shared" si="45"/>
        <v>4</v>
      </c>
      <c r="U114" s="107">
        <f t="shared" si="72"/>
        <v>3.56666666666667</v>
      </c>
      <c r="V114" s="105">
        <f t="shared" si="73"/>
        <v>2</v>
      </c>
      <c r="W114" s="106">
        <f t="shared" si="74"/>
        <v>0.714285714285714</v>
      </c>
      <c r="X114" s="107">
        <f t="shared" si="75"/>
        <v>0.285714285714286</v>
      </c>
      <c r="Y114" s="105">
        <f t="shared" si="55"/>
        <v>0.868432479374729</v>
      </c>
      <c r="Z114" s="106">
        <f t="shared" si="56"/>
        <v>5.86176581270806</v>
      </c>
      <c r="AA114" s="106">
        <f t="shared" si="57"/>
        <v>3.57546626684976</v>
      </c>
      <c r="AB114" s="106">
        <v>0</v>
      </c>
      <c r="AC114" s="106">
        <f t="shared" si="58"/>
        <v>0.127839590253805</v>
      </c>
      <c r="AD114" s="107">
        <f t="shared" si="59"/>
        <v>0.127839590253805</v>
      </c>
      <c r="AE114" s="105">
        <f t="shared" si="60"/>
        <v>3.63460317460317</v>
      </c>
      <c r="AF114" s="106">
        <f t="shared" si="61"/>
        <v>3.57546626684976</v>
      </c>
      <c r="AG114" s="106">
        <f t="shared" si="76"/>
        <v>0.108663651715734</v>
      </c>
      <c r="AH114" s="106">
        <f t="shared" si="77"/>
        <v>0.422794274912758</v>
      </c>
      <c r="AI114" s="107">
        <f t="shared" si="62"/>
        <v>0.531457926628492</v>
      </c>
      <c r="AJ114" s="105">
        <f t="shared" si="63"/>
        <v>1.42666666666667</v>
      </c>
      <c r="AK114" s="106">
        <f t="shared" si="64"/>
        <v>2.90424036204535</v>
      </c>
      <c r="AL114" s="106">
        <f t="shared" si="65"/>
        <v>0.463666666666667</v>
      </c>
      <c r="AM114" s="106">
        <f t="shared" si="78"/>
        <v>0</v>
      </c>
      <c r="AN114" s="107">
        <f t="shared" si="66"/>
        <v>0.463666666666667</v>
      </c>
      <c r="AO114" s="105">
        <f t="shared" si="79"/>
        <v>0.127839590253805</v>
      </c>
      <c r="AP114" s="106">
        <f t="shared" si="54"/>
        <v>0.0756</v>
      </c>
      <c r="AQ114" s="107">
        <f t="shared" si="67"/>
        <v>0.0132</v>
      </c>
      <c r="AR114" s="105">
        <f t="shared" si="68"/>
        <v>1.21176418354896</v>
      </c>
      <c r="AS114" s="106">
        <f t="shared" si="69"/>
        <v>14.2666666666667</v>
      </c>
      <c r="AT114" s="107">
        <f t="shared" si="70"/>
        <v>92.171272428871</v>
      </c>
    </row>
    <row r="115" spans="17:46">
      <c r="Q115">
        <v>108</v>
      </c>
      <c r="R115" s="105">
        <f t="shared" si="43"/>
        <v>10</v>
      </c>
      <c r="S115" s="106">
        <f t="shared" si="71"/>
        <v>1.44</v>
      </c>
      <c r="T115" s="106">
        <f t="shared" si="45"/>
        <v>4</v>
      </c>
      <c r="U115" s="107">
        <f t="shared" si="72"/>
        <v>3.6</v>
      </c>
      <c r="V115" s="105">
        <f t="shared" si="73"/>
        <v>2</v>
      </c>
      <c r="W115" s="106">
        <f t="shared" si="74"/>
        <v>0.714285714285714</v>
      </c>
      <c r="X115" s="107">
        <f t="shared" si="75"/>
        <v>0.285714285714286</v>
      </c>
      <c r="Y115" s="105">
        <f t="shared" si="55"/>
        <v>0.868432479374729</v>
      </c>
      <c r="Z115" s="106">
        <f t="shared" si="56"/>
        <v>5.90843247937473</v>
      </c>
      <c r="AA115" s="106">
        <f t="shared" si="57"/>
        <v>3.60871832016152</v>
      </c>
      <c r="AB115" s="106">
        <v>0</v>
      </c>
      <c r="AC115" s="106">
        <f t="shared" si="58"/>
        <v>0.130228479142694</v>
      </c>
      <c r="AD115" s="107">
        <f t="shared" si="59"/>
        <v>0.130228479142694</v>
      </c>
      <c r="AE115" s="105">
        <f t="shared" si="60"/>
        <v>3.70285714285714</v>
      </c>
      <c r="AF115" s="106">
        <f t="shared" si="61"/>
        <v>3.60871832016152</v>
      </c>
      <c r="AG115" s="106">
        <f t="shared" si="76"/>
        <v>0.11069420727129</v>
      </c>
      <c r="AH115" s="106">
        <f t="shared" si="77"/>
        <v>0.426745623276428</v>
      </c>
      <c r="AI115" s="107">
        <f t="shared" si="62"/>
        <v>0.537439830547718</v>
      </c>
      <c r="AJ115" s="105">
        <f t="shared" si="63"/>
        <v>1.44</v>
      </c>
      <c r="AK115" s="106">
        <f t="shared" si="64"/>
        <v>2.9291584043947</v>
      </c>
      <c r="AL115" s="106">
        <f t="shared" si="65"/>
        <v>0.468</v>
      </c>
      <c r="AM115" s="106">
        <f t="shared" si="78"/>
        <v>0</v>
      </c>
      <c r="AN115" s="107">
        <f t="shared" si="66"/>
        <v>0.468</v>
      </c>
      <c r="AO115" s="105">
        <f t="shared" si="79"/>
        <v>0.130228479142694</v>
      </c>
      <c r="AP115" s="106">
        <f t="shared" si="54"/>
        <v>0.0756</v>
      </c>
      <c r="AQ115" s="107">
        <f t="shared" si="67"/>
        <v>0.0132</v>
      </c>
      <c r="AR115" s="105">
        <f t="shared" si="68"/>
        <v>1.22446830969041</v>
      </c>
      <c r="AS115" s="106">
        <f t="shared" si="69"/>
        <v>14.4</v>
      </c>
      <c r="AT115" s="107">
        <f t="shared" si="70"/>
        <v>92.1631361437689</v>
      </c>
    </row>
    <row r="116" spans="17:46">
      <c r="Q116">
        <v>109</v>
      </c>
      <c r="R116" s="105">
        <f t="shared" si="43"/>
        <v>10</v>
      </c>
      <c r="S116" s="106">
        <f t="shared" si="71"/>
        <v>1.45333333333333</v>
      </c>
      <c r="T116" s="106">
        <f t="shared" si="45"/>
        <v>4</v>
      </c>
      <c r="U116" s="107">
        <f t="shared" si="72"/>
        <v>3.63333333333333</v>
      </c>
      <c r="V116" s="105">
        <f t="shared" si="73"/>
        <v>2</v>
      </c>
      <c r="W116" s="106">
        <f t="shared" si="74"/>
        <v>0.714285714285714</v>
      </c>
      <c r="X116" s="107">
        <f t="shared" si="75"/>
        <v>0.285714285714286</v>
      </c>
      <c r="Y116" s="105">
        <f t="shared" si="55"/>
        <v>0.868432479374729</v>
      </c>
      <c r="Z116" s="106">
        <f t="shared" si="56"/>
        <v>5.9550991460414</v>
      </c>
      <c r="AA116" s="106">
        <f t="shared" si="57"/>
        <v>3.64197185949871</v>
      </c>
      <c r="AB116" s="106">
        <v>0</v>
      </c>
      <c r="AC116" s="106">
        <f t="shared" si="58"/>
        <v>0.132639590253805</v>
      </c>
      <c r="AD116" s="107">
        <f t="shared" si="59"/>
        <v>0.132639590253805</v>
      </c>
      <c r="AE116" s="105">
        <f t="shared" si="60"/>
        <v>3.77174603174603</v>
      </c>
      <c r="AF116" s="106">
        <f t="shared" si="61"/>
        <v>3.64197185949871</v>
      </c>
      <c r="AG116" s="106">
        <f t="shared" si="76"/>
        <v>0.112743651715734</v>
      </c>
      <c r="AH116" s="106">
        <f t="shared" si="77"/>
        <v>0.430696971640099</v>
      </c>
      <c r="AI116" s="107">
        <f t="shared" si="62"/>
        <v>0.543440623355833</v>
      </c>
      <c r="AJ116" s="105">
        <f t="shared" si="63"/>
        <v>1.45333333333333</v>
      </c>
      <c r="AK116" s="106">
        <f t="shared" si="64"/>
        <v>2.95407689134581</v>
      </c>
      <c r="AL116" s="106">
        <f t="shared" si="65"/>
        <v>0.472333333333333</v>
      </c>
      <c r="AM116" s="106">
        <f t="shared" si="78"/>
        <v>0</v>
      </c>
      <c r="AN116" s="107">
        <f t="shared" si="66"/>
        <v>0.472333333333333</v>
      </c>
      <c r="AO116" s="105">
        <f t="shared" si="79"/>
        <v>0.132639590253805</v>
      </c>
      <c r="AP116" s="106">
        <f t="shared" si="54"/>
        <v>0.0756</v>
      </c>
      <c r="AQ116" s="107">
        <f t="shared" si="67"/>
        <v>0.0132</v>
      </c>
      <c r="AR116" s="105">
        <f t="shared" si="68"/>
        <v>1.23721354694297</v>
      </c>
      <c r="AS116" s="106">
        <f t="shared" si="69"/>
        <v>14.5333333333333</v>
      </c>
      <c r="AT116" s="107">
        <f t="shared" si="70"/>
        <v>92.1549103126518</v>
      </c>
    </row>
    <row r="117" spans="17:46">
      <c r="Q117">
        <v>110</v>
      </c>
      <c r="R117" s="105">
        <f t="shared" si="43"/>
        <v>10</v>
      </c>
      <c r="S117" s="106">
        <f t="shared" si="71"/>
        <v>1.46666666666667</v>
      </c>
      <c r="T117" s="106">
        <f t="shared" si="45"/>
        <v>4</v>
      </c>
      <c r="U117" s="107">
        <f t="shared" si="72"/>
        <v>3.66666666666667</v>
      </c>
      <c r="V117" s="105">
        <f t="shared" si="73"/>
        <v>2</v>
      </c>
      <c r="W117" s="106">
        <f t="shared" si="74"/>
        <v>0.714285714285714</v>
      </c>
      <c r="X117" s="107">
        <f t="shared" si="75"/>
        <v>0.285714285714286</v>
      </c>
      <c r="Y117" s="105">
        <f t="shared" si="55"/>
        <v>0.868432479374729</v>
      </c>
      <c r="Z117" s="106">
        <f t="shared" si="56"/>
        <v>6.00176581270806</v>
      </c>
      <c r="AA117" s="106">
        <f t="shared" si="57"/>
        <v>3.67522684452455</v>
      </c>
      <c r="AB117" s="106">
        <v>0</v>
      </c>
      <c r="AC117" s="106">
        <f t="shared" si="58"/>
        <v>0.135072923587139</v>
      </c>
      <c r="AD117" s="107">
        <f t="shared" si="59"/>
        <v>0.135072923587139</v>
      </c>
      <c r="AE117" s="105">
        <f t="shared" si="60"/>
        <v>3.84126984126984</v>
      </c>
      <c r="AF117" s="106">
        <f t="shared" si="61"/>
        <v>3.67522684452455</v>
      </c>
      <c r="AG117" s="106">
        <f t="shared" si="76"/>
        <v>0.114811985049068</v>
      </c>
      <c r="AH117" s="106">
        <f t="shared" si="77"/>
        <v>0.43464832000377</v>
      </c>
      <c r="AI117" s="107">
        <f t="shared" si="62"/>
        <v>0.549460305052837</v>
      </c>
      <c r="AJ117" s="105">
        <f t="shared" si="63"/>
        <v>1.46666666666667</v>
      </c>
      <c r="AK117" s="106">
        <f t="shared" si="64"/>
        <v>2.97899581174176</v>
      </c>
      <c r="AL117" s="106">
        <f t="shared" si="65"/>
        <v>0.476666666666667</v>
      </c>
      <c r="AM117" s="106">
        <f t="shared" si="78"/>
        <v>0</v>
      </c>
      <c r="AN117" s="107">
        <f t="shared" si="66"/>
        <v>0.476666666666667</v>
      </c>
      <c r="AO117" s="105">
        <f t="shared" si="79"/>
        <v>0.135072923587139</v>
      </c>
      <c r="AP117" s="106">
        <f t="shared" si="54"/>
        <v>0.0756</v>
      </c>
      <c r="AQ117" s="107">
        <f t="shared" si="67"/>
        <v>0.0132</v>
      </c>
      <c r="AR117" s="105">
        <f t="shared" si="68"/>
        <v>1.24999989530664</v>
      </c>
      <c r="AS117" s="106">
        <f t="shared" si="69"/>
        <v>14.6666666666667</v>
      </c>
      <c r="AT117" s="107">
        <f t="shared" si="70"/>
        <v>92.1465974647416</v>
      </c>
    </row>
    <row r="118" spans="17:46">
      <c r="Q118">
        <v>111</v>
      </c>
      <c r="R118" s="105">
        <f t="shared" si="43"/>
        <v>10</v>
      </c>
      <c r="S118" s="106">
        <f t="shared" si="71"/>
        <v>1.48</v>
      </c>
      <c r="T118" s="106">
        <f t="shared" si="45"/>
        <v>4</v>
      </c>
      <c r="U118" s="107">
        <f t="shared" si="72"/>
        <v>3.7</v>
      </c>
      <c r="V118" s="105">
        <f t="shared" si="73"/>
        <v>2</v>
      </c>
      <c r="W118" s="106">
        <f t="shared" si="74"/>
        <v>0.714285714285714</v>
      </c>
      <c r="X118" s="107">
        <f t="shared" si="75"/>
        <v>0.285714285714286</v>
      </c>
      <c r="Y118" s="105">
        <f t="shared" si="55"/>
        <v>0.868432479374729</v>
      </c>
      <c r="Z118" s="106">
        <f t="shared" si="56"/>
        <v>6.04843247937473</v>
      </c>
      <c r="AA118" s="106">
        <f t="shared" si="57"/>
        <v>3.70848323634736</v>
      </c>
      <c r="AB118" s="106">
        <v>0</v>
      </c>
      <c r="AC118" s="106">
        <f t="shared" si="58"/>
        <v>0.137528479142694</v>
      </c>
      <c r="AD118" s="107">
        <f t="shared" si="59"/>
        <v>0.137528479142694</v>
      </c>
      <c r="AE118" s="105">
        <f t="shared" si="60"/>
        <v>3.91142857142857</v>
      </c>
      <c r="AF118" s="106">
        <f t="shared" si="61"/>
        <v>3.70848323634736</v>
      </c>
      <c r="AG118" s="106">
        <f t="shared" si="76"/>
        <v>0.11689920727129</v>
      </c>
      <c r="AH118" s="106">
        <f t="shared" si="77"/>
        <v>0.43859966836744</v>
      </c>
      <c r="AI118" s="107">
        <f t="shared" si="62"/>
        <v>0.55549887563873</v>
      </c>
      <c r="AJ118" s="105">
        <f t="shared" si="63"/>
        <v>1.48</v>
      </c>
      <c r="AK118" s="106">
        <f t="shared" si="64"/>
        <v>3.00391515479567</v>
      </c>
      <c r="AL118" s="106">
        <f t="shared" si="65"/>
        <v>0.481</v>
      </c>
      <c r="AM118" s="106">
        <f t="shared" si="78"/>
        <v>0</v>
      </c>
      <c r="AN118" s="107">
        <f t="shared" si="66"/>
        <v>0.481</v>
      </c>
      <c r="AO118" s="105">
        <f t="shared" si="79"/>
        <v>0.137528479142694</v>
      </c>
      <c r="AP118" s="106">
        <f t="shared" si="54"/>
        <v>0.0756</v>
      </c>
      <c r="AQ118" s="107">
        <f t="shared" si="67"/>
        <v>0.0132</v>
      </c>
      <c r="AR118" s="105">
        <f t="shared" si="68"/>
        <v>1.26282735478142</v>
      </c>
      <c r="AS118" s="106">
        <f t="shared" si="69"/>
        <v>14.8</v>
      </c>
      <c r="AT118" s="107">
        <f t="shared" si="70"/>
        <v>92.1382000385784</v>
      </c>
    </row>
    <row r="119" spans="17:46">
      <c r="Q119">
        <v>112</v>
      </c>
      <c r="R119" s="105">
        <f t="shared" si="43"/>
        <v>10</v>
      </c>
      <c r="S119" s="106">
        <f t="shared" si="71"/>
        <v>1.49333333333333</v>
      </c>
      <c r="T119" s="106">
        <f t="shared" si="45"/>
        <v>4</v>
      </c>
      <c r="U119" s="107">
        <f t="shared" si="72"/>
        <v>3.73333333333333</v>
      </c>
      <c r="V119" s="105">
        <f t="shared" si="73"/>
        <v>2</v>
      </c>
      <c r="W119" s="106">
        <f t="shared" si="74"/>
        <v>0.714285714285714</v>
      </c>
      <c r="X119" s="107">
        <f t="shared" si="75"/>
        <v>0.285714285714286</v>
      </c>
      <c r="Y119" s="105">
        <f t="shared" si="55"/>
        <v>0.868432479374729</v>
      </c>
      <c r="Z119" s="106">
        <f t="shared" si="56"/>
        <v>6.0950991460414</v>
      </c>
      <c r="AA119" s="106">
        <f t="shared" si="57"/>
        <v>3.74174099745656</v>
      </c>
      <c r="AB119" s="106">
        <v>0</v>
      </c>
      <c r="AC119" s="106">
        <f t="shared" si="58"/>
        <v>0.140006256920472</v>
      </c>
      <c r="AD119" s="107">
        <f t="shared" si="59"/>
        <v>0.140006256920472</v>
      </c>
      <c r="AE119" s="105">
        <f t="shared" si="60"/>
        <v>3.98222222222222</v>
      </c>
      <c r="AF119" s="106">
        <f t="shared" si="61"/>
        <v>3.74174099745656</v>
      </c>
      <c r="AG119" s="106">
        <f t="shared" si="76"/>
        <v>0.119005318382401</v>
      </c>
      <c r="AH119" s="106">
        <f t="shared" si="77"/>
        <v>0.442551016731111</v>
      </c>
      <c r="AI119" s="107">
        <f t="shared" si="62"/>
        <v>0.561556335113512</v>
      </c>
      <c r="AJ119" s="105">
        <f t="shared" si="63"/>
        <v>1.49333333333333</v>
      </c>
      <c r="AK119" s="106">
        <f t="shared" si="64"/>
        <v>3.02883491007543</v>
      </c>
      <c r="AL119" s="106">
        <f t="shared" si="65"/>
        <v>0.485333333333333</v>
      </c>
      <c r="AM119" s="106">
        <f t="shared" si="78"/>
        <v>0</v>
      </c>
      <c r="AN119" s="107">
        <f t="shared" si="66"/>
        <v>0.485333333333333</v>
      </c>
      <c r="AO119" s="105">
        <f t="shared" si="79"/>
        <v>0.140006256920472</v>
      </c>
      <c r="AP119" s="106">
        <f t="shared" si="54"/>
        <v>0.0756</v>
      </c>
      <c r="AQ119" s="107">
        <f t="shared" si="67"/>
        <v>0.0132</v>
      </c>
      <c r="AR119" s="105">
        <f t="shared" si="68"/>
        <v>1.27569592536732</v>
      </c>
      <c r="AS119" s="106">
        <f t="shared" si="69"/>
        <v>14.9333333333333</v>
      </c>
      <c r="AT119" s="107">
        <f t="shared" si="70"/>
        <v>92.1297203860463</v>
      </c>
    </row>
    <row r="120" spans="17:46">
      <c r="Q120">
        <v>113</v>
      </c>
      <c r="R120" s="105">
        <f t="shared" si="43"/>
        <v>10</v>
      </c>
      <c r="S120" s="106">
        <f t="shared" si="71"/>
        <v>1.50666666666667</v>
      </c>
      <c r="T120" s="106">
        <f t="shared" si="45"/>
        <v>4</v>
      </c>
      <c r="U120" s="107">
        <f t="shared" si="72"/>
        <v>3.76666666666667</v>
      </c>
      <c r="V120" s="105">
        <f t="shared" si="73"/>
        <v>2</v>
      </c>
      <c r="W120" s="106">
        <f t="shared" si="74"/>
        <v>0.714285714285714</v>
      </c>
      <c r="X120" s="107">
        <f t="shared" si="75"/>
        <v>0.285714285714286</v>
      </c>
      <c r="Y120" s="105">
        <f t="shared" si="55"/>
        <v>0.868432479374729</v>
      </c>
      <c r="Z120" s="106">
        <f t="shared" si="56"/>
        <v>6.14176581270806</v>
      </c>
      <c r="AA120" s="106">
        <f t="shared" si="57"/>
        <v>3.77500009166188</v>
      </c>
      <c r="AB120" s="106">
        <v>0</v>
      </c>
      <c r="AC120" s="106">
        <f t="shared" si="58"/>
        <v>0.142506256920472</v>
      </c>
      <c r="AD120" s="107">
        <f t="shared" si="59"/>
        <v>0.142506256920472</v>
      </c>
      <c r="AE120" s="105">
        <f t="shared" si="60"/>
        <v>4.0536507936508</v>
      </c>
      <c r="AF120" s="106">
        <f t="shared" si="61"/>
        <v>3.77500009166188</v>
      </c>
      <c r="AG120" s="106">
        <f t="shared" si="76"/>
        <v>0.121130318382401</v>
      </c>
      <c r="AH120" s="106">
        <f t="shared" si="77"/>
        <v>0.446502365094781</v>
      </c>
      <c r="AI120" s="107">
        <f t="shared" si="62"/>
        <v>0.567632683477183</v>
      </c>
      <c r="AJ120" s="105">
        <f t="shared" si="63"/>
        <v>1.50666666666667</v>
      </c>
      <c r="AK120" s="106">
        <f t="shared" si="64"/>
        <v>3.05375506748931</v>
      </c>
      <c r="AL120" s="106">
        <f t="shared" si="65"/>
        <v>0.489666666666667</v>
      </c>
      <c r="AM120" s="106">
        <f t="shared" si="78"/>
        <v>0</v>
      </c>
      <c r="AN120" s="107">
        <f t="shared" si="66"/>
        <v>0.489666666666667</v>
      </c>
      <c r="AO120" s="105">
        <f t="shared" si="79"/>
        <v>0.142506256920472</v>
      </c>
      <c r="AP120" s="106">
        <f t="shared" si="54"/>
        <v>0.0756</v>
      </c>
      <c r="AQ120" s="107">
        <f t="shared" si="67"/>
        <v>0.0132</v>
      </c>
      <c r="AR120" s="105">
        <f t="shared" si="68"/>
        <v>1.28860560706432</v>
      </c>
      <c r="AS120" s="106">
        <f t="shared" si="69"/>
        <v>15.0666666666667</v>
      </c>
      <c r="AT120" s="107">
        <f t="shared" si="70"/>
        <v>92.1211607761858</v>
      </c>
    </row>
    <row r="121" spans="17:46">
      <c r="Q121">
        <v>114</v>
      </c>
      <c r="R121" s="105">
        <f t="shared" si="43"/>
        <v>10</v>
      </c>
      <c r="S121" s="106">
        <f t="shared" si="71"/>
        <v>1.52</v>
      </c>
      <c r="T121" s="106">
        <f t="shared" si="45"/>
        <v>4</v>
      </c>
      <c r="U121" s="107">
        <f t="shared" si="72"/>
        <v>3.8</v>
      </c>
      <c r="V121" s="105">
        <f t="shared" si="73"/>
        <v>2</v>
      </c>
      <c r="W121" s="106">
        <f t="shared" si="74"/>
        <v>0.714285714285714</v>
      </c>
      <c r="X121" s="107">
        <f t="shared" si="75"/>
        <v>0.285714285714286</v>
      </c>
      <c r="Y121" s="105">
        <f t="shared" si="55"/>
        <v>0.868432479374729</v>
      </c>
      <c r="Z121" s="106">
        <f t="shared" si="56"/>
        <v>6.18843247937473</v>
      </c>
      <c r="AA121" s="106">
        <f t="shared" si="57"/>
        <v>3.80826048403591</v>
      </c>
      <c r="AB121" s="106">
        <v>0</v>
      </c>
      <c r="AC121" s="106">
        <f t="shared" si="58"/>
        <v>0.145028479142694</v>
      </c>
      <c r="AD121" s="107">
        <f t="shared" si="59"/>
        <v>0.145028479142694</v>
      </c>
      <c r="AE121" s="105">
        <f t="shared" si="60"/>
        <v>4.12571428571429</v>
      </c>
      <c r="AF121" s="106">
        <f t="shared" si="61"/>
        <v>3.80826048403591</v>
      </c>
      <c r="AG121" s="106">
        <f t="shared" si="76"/>
        <v>0.12327420727129</v>
      </c>
      <c r="AH121" s="106">
        <f t="shared" si="77"/>
        <v>0.450453713458452</v>
      </c>
      <c r="AI121" s="107">
        <f t="shared" si="62"/>
        <v>0.573727920729742</v>
      </c>
      <c r="AJ121" s="105">
        <f t="shared" si="63"/>
        <v>1.52</v>
      </c>
      <c r="AK121" s="106">
        <f t="shared" si="64"/>
        <v>3.07867561727215</v>
      </c>
      <c r="AL121" s="106">
        <f t="shared" si="65"/>
        <v>0.494</v>
      </c>
      <c r="AM121" s="106">
        <f t="shared" si="78"/>
        <v>0</v>
      </c>
      <c r="AN121" s="107">
        <f t="shared" si="66"/>
        <v>0.494</v>
      </c>
      <c r="AO121" s="105">
        <f t="shared" si="79"/>
        <v>0.145028479142694</v>
      </c>
      <c r="AP121" s="106">
        <f t="shared" si="54"/>
        <v>0.0756</v>
      </c>
      <c r="AQ121" s="107">
        <f t="shared" si="67"/>
        <v>0.0132</v>
      </c>
      <c r="AR121" s="105">
        <f t="shared" si="68"/>
        <v>1.30155639987244</v>
      </c>
      <c r="AS121" s="106">
        <f t="shared" si="69"/>
        <v>15.2</v>
      </c>
      <c r="AT121" s="107">
        <f t="shared" si="70"/>
        <v>92.112523398808</v>
      </c>
    </row>
    <row r="122" spans="17:46">
      <c r="Q122">
        <v>115</v>
      </c>
      <c r="R122" s="105">
        <f t="shared" si="43"/>
        <v>10</v>
      </c>
      <c r="S122" s="106">
        <f t="shared" si="71"/>
        <v>1.53333333333333</v>
      </c>
      <c r="T122" s="106">
        <f t="shared" si="45"/>
        <v>4</v>
      </c>
      <c r="U122" s="107">
        <f t="shared" si="72"/>
        <v>3.83333333333333</v>
      </c>
      <c r="V122" s="105">
        <f t="shared" si="73"/>
        <v>2</v>
      </c>
      <c r="W122" s="106">
        <f t="shared" si="74"/>
        <v>0.714285714285714</v>
      </c>
      <c r="X122" s="107">
        <f t="shared" si="75"/>
        <v>0.285714285714286</v>
      </c>
      <c r="Y122" s="105">
        <f t="shared" si="55"/>
        <v>0.868432479374729</v>
      </c>
      <c r="Z122" s="106">
        <f t="shared" si="56"/>
        <v>6.2350991460414</v>
      </c>
      <c r="AA122" s="106">
        <f t="shared" si="57"/>
        <v>3.84152214085951</v>
      </c>
      <c r="AB122" s="106">
        <v>0</v>
      </c>
      <c r="AC122" s="106">
        <f t="shared" si="58"/>
        <v>0.147572923587139</v>
      </c>
      <c r="AD122" s="107">
        <f t="shared" si="59"/>
        <v>0.147572923587139</v>
      </c>
      <c r="AE122" s="105">
        <f t="shared" si="60"/>
        <v>4.1984126984127</v>
      </c>
      <c r="AF122" s="106">
        <f t="shared" si="61"/>
        <v>3.84152214085951</v>
      </c>
      <c r="AG122" s="106">
        <f t="shared" si="76"/>
        <v>0.125436985049068</v>
      </c>
      <c r="AH122" s="106">
        <f t="shared" si="77"/>
        <v>0.454405061822123</v>
      </c>
      <c r="AI122" s="107">
        <f t="shared" si="62"/>
        <v>0.57984204687119</v>
      </c>
      <c r="AJ122" s="105">
        <f t="shared" si="63"/>
        <v>1.53333333333333</v>
      </c>
      <c r="AK122" s="106">
        <f t="shared" si="64"/>
        <v>3.1035965499723</v>
      </c>
      <c r="AL122" s="106">
        <f t="shared" si="65"/>
        <v>0.498333333333333</v>
      </c>
      <c r="AM122" s="106">
        <f t="shared" si="78"/>
        <v>0</v>
      </c>
      <c r="AN122" s="107">
        <f t="shared" si="66"/>
        <v>0.498333333333333</v>
      </c>
      <c r="AO122" s="105">
        <f t="shared" si="79"/>
        <v>0.147572923587139</v>
      </c>
      <c r="AP122" s="106">
        <f t="shared" si="54"/>
        <v>0.0756</v>
      </c>
      <c r="AQ122" s="107">
        <f t="shared" si="67"/>
        <v>0.0132</v>
      </c>
      <c r="AR122" s="105">
        <f t="shared" si="68"/>
        <v>1.31454830379166</v>
      </c>
      <c r="AS122" s="106">
        <f t="shared" si="69"/>
        <v>15.3333333333333</v>
      </c>
      <c r="AT122" s="107">
        <f t="shared" si="70"/>
        <v>92.1038103679197</v>
      </c>
    </row>
    <row r="123" spans="17:46">
      <c r="Q123">
        <v>116</v>
      </c>
      <c r="R123" s="105">
        <f t="shared" si="43"/>
        <v>10</v>
      </c>
      <c r="S123" s="106">
        <f t="shared" si="71"/>
        <v>1.54666666666667</v>
      </c>
      <c r="T123" s="106">
        <f t="shared" si="45"/>
        <v>4</v>
      </c>
      <c r="U123" s="107">
        <f t="shared" si="72"/>
        <v>3.86666666666667</v>
      </c>
      <c r="V123" s="105">
        <f t="shared" si="73"/>
        <v>2</v>
      </c>
      <c r="W123" s="106">
        <f t="shared" si="74"/>
        <v>0.714285714285714</v>
      </c>
      <c r="X123" s="107">
        <f t="shared" si="75"/>
        <v>0.285714285714286</v>
      </c>
      <c r="Y123" s="105">
        <f t="shared" si="55"/>
        <v>0.868432479374729</v>
      </c>
      <c r="Z123" s="106">
        <f t="shared" si="56"/>
        <v>6.28176581270806</v>
      </c>
      <c r="AA123" s="106">
        <f t="shared" si="57"/>
        <v>3.8747850295701</v>
      </c>
      <c r="AB123" s="106">
        <v>0</v>
      </c>
      <c r="AC123" s="106">
        <f t="shared" si="58"/>
        <v>0.150139590253805</v>
      </c>
      <c r="AD123" s="107">
        <f t="shared" si="59"/>
        <v>0.150139590253805</v>
      </c>
      <c r="AE123" s="105">
        <f t="shared" si="60"/>
        <v>4.27174603174603</v>
      </c>
      <c r="AF123" s="106">
        <f t="shared" si="61"/>
        <v>3.8747850295701</v>
      </c>
      <c r="AG123" s="106">
        <f t="shared" si="76"/>
        <v>0.127618651715734</v>
      </c>
      <c r="AH123" s="106">
        <f t="shared" si="77"/>
        <v>0.458356410185793</v>
      </c>
      <c r="AI123" s="107">
        <f t="shared" si="62"/>
        <v>0.585975061901528</v>
      </c>
      <c r="AJ123" s="105">
        <f t="shared" si="63"/>
        <v>1.54666666666667</v>
      </c>
      <c r="AK123" s="106">
        <f t="shared" si="64"/>
        <v>3.1285178564391</v>
      </c>
      <c r="AL123" s="106">
        <f t="shared" si="65"/>
        <v>0.502666666666667</v>
      </c>
      <c r="AM123" s="106">
        <f t="shared" si="78"/>
        <v>0</v>
      </c>
      <c r="AN123" s="107">
        <f t="shared" si="66"/>
        <v>0.502666666666667</v>
      </c>
      <c r="AO123" s="105">
        <f t="shared" si="79"/>
        <v>0.150139590253805</v>
      </c>
      <c r="AP123" s="106">
        <f t="shared" si="54"/>
        <v>0.0756</v>
      </c>
      <c r="AQ123" s="107">
        <f t="shared" si="67"/>
        <v>0.0132</v>
      </c>
      <c r="AR123" s="105">
        <f t="shared" si="68"/>
        <v>1.327581318822</v>
      </c>
      <c r="AS123" s="106">
        <f t="shared" si="69"/>
        <v>15.4666666666667</v>
      </c>
      <c r="AT123" s="107">
        <f t="shared" si="70"/>
        <v>92.0950237249735</v>
      </c>
    </row>
    <row r="124" spans="17:46">
      <c r="Q124">
        <v>117</v>
      </c>
      <c r="R124" s="105">
        <f t="shared" si="43"/>
        <v>10</v>
      </c>
      <c r="S124" s="106">
        <f t="shared" si="71"/>
        <v>1.56</v>
      </c>
      <c r="T124" s="106">
        <f t="shared" si="45"/>
        <v>4</v>
      </c>
      <c r="U124" s="107">
        <f t="shared" si="72"/>
        <v>3.9</v>
      </c>
      <c r="V124" s="105">
        <f t="shared" si="73"/>
        <v>2</v>
      </c>
      <c r="W124" s="106">
        <f t="shared" si="74"/>
        <v>0.714285714285714</v>
      </c>
      <c r="X124" s="107">
        <f t="shared" si="75"/>
        <v>0.285714285714286</v>
      </c>
      <c r="Y124" s="105">
        <f t="shared" si="55"/>
        <v>0.868432479374729</v>
      </c>
      <c r="Z124" s="106">
        <f t="shared" si="56"/>
        <v>6.32843247937473</v>
      </c>
      <c r="AA124" s="106">
        <f t="shared" si="57"/>
        <v>3.90804911871248</v>
      </c>
      <c r="AB124" s="106">
        <v>0</v>
      </c>
      <c r="AC124" s="106">
        <f t="shared" si="58"/>
        <v>0.152728479142694</v>
      </c>
      <c r="AD124" s="107">
        <f t="shared" si="59"/>
        <v>0.152728479142694</v>
      </c>
      <c r="AE124" s="105">
        <f t="shared" si="60"/>
        <v>4.34571428571429</v>
      </c>
      <c r="AF124" s="106">
        <f t="shared" si="61"/>
        <v>3.90804911871248</v>
      </c>
      <c r="AG124" s="106">
        <f t="shared" si="76"/>
        <v>0.12981920727129</v>
      </c>
      <c r="AH124" s="106">
        <f t="shared" si="77"/>
        <v>0.462307758549464</v>
      </c>
      <c r="AI124" s="107">
        <f t="shared" si="62"/>
        <v>0.592126965820754</v>
      </c>
      <c r="AJ124" s="105">
        <f t="shared" si="63"/>
        <v>1.56</v>
      </c>
      <c r="AK124" s="106">
        <f t="shared" si="64"/>
        <v>3.15343952781103</v>
      </c>
      <c r="AL124" s="106">
        <f t="shared" si="65"/>
        <v>0.507</v>
      </c>
      <c r="AM124" s="106">
        <f t="shared" si="78"/>
        <v>0</v>
      </c>
      <c r="AN124" s="107">
        <f t="shared" si="66"/>
        <v>0.507</v>
      </c>
      <c r="AO124" s="105">
        <f t="shared" si="79"/>
        <v>0.152728479142694</v>
      </c>
      <c r="AP124" s="106">
        <f t="shared" si="54"/>
        <v>0.0756</v>
      </c>
      <c r="AQ124" s="107">
        <f t="shared" si="67"/>
        <v>0.0132</v>
      </c>
      <c r="AR124" s="105">
        <f t="shared" si="68"/>
        <v>1.34065544496345</v>
      </c>
      <c r="AS124" s="106">
        <f t="shared" si="69"/>
        <v>15.6</v>
      </c>
      <c r="AT124" s="107">
        <f t="shared" si="70"/>
        <v>92.0861654419515</v>
      </c>
    </row>
    <row r="125" spans="17:46">
      <c r="Q125">
        <v>118</v>
      </c>
      <c r="R125" s="105">
        <f t="shared" si="43"/>
        <v>10</v>
      </c>
      <c r="S125" s="106">
        <f t="shared" si="71"/>
        <v>1.57333333333333</v>
      </c>
      <c r="T125" s="106">
        <f t="shared" si="45"/>
        <v>4</v>
      </c>
      <c r="U125" s="107">
        <f t="shared" si="72"/>
        <v>3.93333333333333</v>
      </c>
      <c r="V125" s="105">
        <f t="shared" si="73"/>
        <v>2</v>
      </c>
      <c r="W125" s="106">
        <f t="shared" si="74"/>
        <v>0.714285714285714</v>
      </c>
      <c r="X125" s="107">
        <f t="shared" si="75"/>
        <v>0.285714285714286</v>
      </c>
      <c r="Y125" s="105">
        <f t="shared" si="55"/>
        <v>0.868432479374729</v>
      </c>
      <c r="Z125" s="106">
        <f t="shared" si="56"/>
        <v>6.3750991460414</v>
      </c>
      <c r="AA125" s="106">
        <f t="shared" si="57"/>
        <v>3.94131437789229</v>
      </c>
      <c r="AB125" s="106">
        <v>0</v>
      </c>
      <c r="AC125" s="106">
        <f t="shared" si="58"/>
        <v>0.155339590253805</v>
      </c>
      <c r="AD125" s="107">
        <f t="shared" si="59"/>
        <v>0.155339590253805</v>
      </c>
      <c r="AE125" s="105">
        <f t="shared" si="60"/>
        <v>4.42031746031746</v>
      </c>
      <c r="AF125" s="106">
        <f t="shared" si="61"/>
        <v>3.94131437789229</v>
      </c>
      <c r="AG125" s="106">
        <f t="shared" si="76"/>
        <v>0.132038651715734</v>
      </c>
      <c r="AH125" s="106">
        <f t="shared" si="77"/>
        <v>0.466259106913135</v>
      </c>
      <c r="AI125" s="107">
        <f t="shared" si="62"/>
        <v>0.598297758628869</v>
      </c>
      <c r="AJ125" s="105">
        <f t="shared" si="63"/>
        <v>1.57333333333333</v>
      </c>
      <c r="AK125" s="106">
        <f t="shared" si="64"/>
        <v>3.17836155550439</v>
      </c>
      <c r="AL125" s="106">
        <f t="shared" si="65"/>
        <v>0.511333333333333</v>
      </c>
      <c r="AM125" s="106">
        <f t="shared" si="78"/>
        <v>0</v>
      </c>
      <c r="AN125" s="107">
        <f t="shared" si="66"/>
        <v>0.511333333333333</v>
      </c>
      <c r="AO125" s="105">
        <f t="shared" si="79"/>
        <v>0.155339590253805</v>
      </c>
      <c r="AP125" s="106">
        <f t="shared" si="54"/>
        <v>0.0756</v>
      </c>
      <c r="AQ125" s="107">
        <f t="shared" si="67"/>
        <v>0.0132</v>
      </c>
      <c r="AR125" s="105">
        <f t="shared" si="68"/>
        <v>1.35377068221601</v>
      </c>
      <c r="AS125" s="106">
        <f t="shared" si="69"/>
        <v>15.7333333333333</v>
      </c>
      <c r="AT125" s="107">
        <f t="shared" si="70"/>
        <v>92.0772374242934</v>
      </c>
    </row>
    <row r="126" spans="17:46">
      <c r="Q126">
        <v>119</v>
      </c>
      <c r="R126" s="105">
        <f t="shared" si="43"/>
        <v>10</v>
      </c>
      <c r="S126" s="106">
        <f t="shared" si="71"/>
        <v>1.58666666666667</v>
      </c>
      <c r="T126" s="106">
        <f t="shared" si="45"/>
        <v>4</v>
      </c>
      <c r="U126" s="107">
        <f t="shared" si="72"/>
        <v>3.96666666666667</v>
      </c>
      <c r="V126" s="105">
        <f t="shared" si="73"/>
        <v>2</v>
      </c>
      <c r="W126" s="106">
        <f t="shared" si="74"/>
        <v>0.714285714285714</v>
      </c>
      <c r="X126" s="107">
        <f t="shared" si="75"/>
        <v>0.285714285714286</v>
      </c>
      <c r="Y126" s="105">
        <f t="shared" si="55"/>
        <v>0.868432479374729</v>
      </c>
      <c r="Z126" s="106">
        <f t="shared" si="56"/>
        <v>6.42176581270806</v>
      </c>
      <c r="AA126" s="106">
        <f t="shared" si="57"/>
        <v>3.97458077773164</v>
      </c>
      <c r="AB126" s="106">
        <v>0</v>
      </c>
      <c r="AC126" s="106">
        <f t="shared" si="58"/>
        <v>0.157972923587139</v>
      </c>
      <c r="AD126" s="107">
        <f t="shared" si="59"/>
        <v>0.157972923587139</v>
      </c>
      <c r="AE126" s="105">
        <f t="shared" si="60"/>
        <v>4.49555555555556</v>
      </c>
      <c r="AF126" s="106">
        <f t="shared" si="61"/>
        <v>3.97458077773164</v>
      </c>
      <c r="AG126" s="106">
        <f t="shared" si="76"/>
        <v>0.134276985049068</v>
      </c>
      <c r="AH126" s="106">
        <f t="shared" si="77"/>
        <v>0.470210455276805</v>
      </c>
      <c r="AI126" s="107">
        <f t="shared" si="62"/>
        <v>0.604487440325873</v>
      </c>
      <c r="AJ126" s="105">
        <f t="shared" si="63"/>
        <v>1.58666666666667</v>
      </c>
      <c r="AK126" s="106">
        <f t="shared" si="64"/>
        <v>3.20328393120247</v>
      </c>
      <c r="AL126" s="106">
        <f t="shared" si="65"/>
        <v>0.515666666666667</v>
      </c>
      <c r="AM126" s="106">
        <f t="shared" si="78"/>
        <v>0</v>
      </c>
      <c r="AN126" s="107">
        <f t="shared" si="66"/>
        <v>0.515666666666667</v>
      </c>
      <c r="AO126" s="105">
        <f t="shared" si="79"/>
        <v>0.157972923587139</v>
      </c>
      <c r="AP126" s="106">
        <f t="shared" si="54"/>
        <v>0.0756</v>
      </c>
      <c r="AQ126" s="107">
        <f t="shared" si="67"/>
        <v>0.0132</v>
      </c>
      <c r="AR126" s="105">
        <f t="shared" si="68"/>
        <v>1.36692703057968</v>
      </c>
      <c r="AS126" s="106">
        <f t="shared" si="69"/>
        <v>15.8666666666667</v>
      </c>
      <c r="AT126" s="107">
        <f t="shared" si="70"/>
        <v>92.0682415136775</v>
      </c>
    </row>
    <row r="127" spans="17:46">
      <c r="Q127">
        <v>120</v>
      </c>
      <c r="R127" s="105">
        <f t="shared" si="43"/>
        <v>10</v>
      </c>
      <c r="S127" s="106">
        <f t="shared" si="71"/>
        <v>1.6</v>
      </c>
      <c r="T127" s="106">
        <f t="shared" si="45"/>
        <v>4</v>
      </c>
      <c r="U127" s="107">
        <f t="shared" si="72"/>
        <v>4</v>
      </c>
      <c r="V127" s="105">
        <f t="shared" si="73"/>
        <v>2</v>
      </c>
      <c r="W127" s="106">
        <f t="shared" si="74"/>
        <v>0.714285714285714</v>
      </c>
      <c r="X127" s="107">
        <f t="shared" si="75"/>
        <v>0.285714285714286</v>
      </c>
      <c r="Y127" s="105">
        <f t="shared" si="55"/>
        <v>0.868432479374729</v>
      </c>
      <c r="Z127" s="106">
        <f t="shared" si="56"/>
        <v>6.46843247937473</v>
      </c>
      <c r="AA127" s="106">
        <f t="shared" si="57"/>
        <v>4.00784828982703</v>
      </c>
      <c r="AB127" s="106">
        <v>0</v>
      </c>
      <c r="AC127" s="106">
        <f t="shared" si="58"/>
        <v>0.160628479142694</v>
      </c>
      <c r="AD127" s="107">
        <f t="shared" si="59"/>
        <v>0.160628479142694</v>
      </c>
      <c r="AE127" s="105">
        <f t="shared" si="60"/>
        <v>4.57142857142857</v>
      </c>
      <c r="AF127" s="106">
        <f t="shared" si="61"/>
        <v>4.00784828982703</v>
      </c>
      <c r="AG127" s="106">
        <f t="shared" si="76"/>
        <v>0.13653420727129</v>
      </c>
      <c r="AH127" s="106">
        <f t="shared" si="77"/>
        <v>0.474161803640476</v>
      </c>
      <c r="AI127" s="107">
        <f t="shared" si="62"/>
        <v>0.610696010911766</v>
      </c>
      <c r="AJ127" s="105">
        <f t="shared" si="63"/>
        <v>1.6</v>
      </c>
      <c r="AK127" s="106">
        <f t="shared" si="64"/>
        <v>3.22820664684528</v>
      </c>
      <c r="AL127" s="106">
        <f t="shared" si="65"/>
        <v>0.52</v>
      </c>
      <c r="AM127" s="106">
        <f t="shared" si="78"/>
        <v>0</v>
      </c>
      <c r="AN127" s="107">
        <f t="shared" si="66"/>
        <v>0.52</v>
      </c>
      <c r="AO127" s="105">
        <f t="shared" si="79"/>
        <v>0.160628479142694</v>
      </c>
      <c r="AP127" s="106">
        <f t="shared" si="54"/>
        <v>0.0756</v>
      </c>
      <c r="AQ127" s="107">
        <f t="shared" si="67"/>
        <v>0.0132</v>
      </c>
      <c r="AR127" s="105">
        <f t="shared" si="68"/>
        <v>1.38012449005446</v>
      </c>
      <c r="AS127" s="106">
        <f t="shared" si="69"/>
        <v>16</v>
      </c>
      <c r="AT127" s="107">
        <f t="shared" si="70"/>
        <v>92.0591794906635</v>
      </c>
    </row>
    <row r="128" spans="17:46">
      <c r="Q128">
        <v>121</v>
      </c>
      <c r="R128" s="105">
        <f t="shared" si="43"/>
        <v>10</v>
      </c>
      <c r="S128" s="106">
        <f t="shared" si="71"/>
        <v>1.61333333333333</v>
      </c>
      <c r="T128" s="106">
        <f t="shared" si="45"/>
        <v>4</v>
      </c>
      <c r="U128" s="107">
        <f t="shared" si="72"/>
        <v>4.03333333333333</v>
      </c>
      <c r="V128" s="105">
        <f t="shared" si="73"/>
        <v>2</v>
      </c>
      <c r="W128" s="106">
        <f t="shared" si="74"/>
        <v>0.714285714285714</v>
      </c>
      <c r="X128" s="107">
        <f t="shared" si="75"/>
        <v>0.285714285714286</v>
      </c>
      <c r="Y128" s="105">
        <f t="shared" si="55"/>
        <v>0.868432479374729</v>
      </c>
      <c r="Z128" s="106">
        <f t="shared" si="56"/>
        <v>6.5150991460414</v>
      </c>
      <c r="AA128" s="106">
        <f t="shared" si="57"/>
        <v>4.04111688670932</v>
      </c>
      <c r="AB128" s="106">
        <v>0</v>
      </c>
      <c r="AC128" s="106">
        <f t="shared" si="58"/>
        <v>0.163306256920472</v>
      </c>
      <c r="AD128" s="107">
        <f t="shared" si="59"/>
        <v>0.163306256920472</v>
      </c>
      <c r="AE128" s="105">
        <f t="shared" si="60"/>
        <v>4.64793650793651</v>
      </c>
      <c r="AF128" s="106">
        <f t="shared" si="61"/>
        <v>4.04111688670932</v>
      </c>
      <c r="AG128" s="106">
        <f t="shared" si="76"/>
        <v>0.138810318382401</v>
      </c>
      <c r="AH128" s="106">
        <f t="shared" si="77"/>
        <v>0.478113152004147</v>
      </c>
      <c r="AI128" s="107">
        <f t="shared" si="62"/>
        <v>0.616923470386548</v>
      </c>
      <c r="AJ128" s="105">
        <f t="shared" si="63"/>
        <v>1.61333333333333</v>
      </c>
      <c r="AK128" s="106">
        <f t="shared" si="64"/>
        <v>3.25312969461972</v>
      </c>
      <c r="AL128" s="106">
        <f t="shared" si="65"/>
        <v>0.524333333333333</v>
      </c>
      <c r="AM128" s="106">
        <f t="shared" si="78"/>
        <v>0</v>
      </c>
      <c r="AN128" s="107">
        <f t="shared" si="66"/>
        <v>0.524333333333333</v>
      </c>
      <c r="AO128" s="105">
        <f t="shared" si="79"/>
        <v>0.163306256920472</v>
      </c>
      <c r="AP128" s="106">
        <f t="shared" si="54"/>
        <v>0.0756</v>
      </c>
      <c r="AQ128" s="107">
        <f t="shared" si="67"/>
        <v>0.0132</v>
      </c>
      <c r="AR128" s="105">
        <f t="shared" si="68"/>
        <v>1.39336306064035</v>
      </c>
      <c r="AS128" s="106">
        <f t="shared" si="69"/>
        <v>16.1333333333333</v>
      </c>
      <c r="AT128" s="107">
        <f t="shared" si="70"/>
        <v>92.0500530772049</v>
      </c>
    </row>
    <row r="129" spans="17:46">
      <c r="Q129">
        <v>122</v>
      </c>
      <c r="R129" s="105">
        <f t="shared" si="43"/>
        <v>10</v>
      </c>
      <c r="S129" s="106">
        <f t="shared" si="71"/>
        <v>1.62666666666667</v>
      </c>
      <c r="T129" s="106">
        <f t="shared" si="45"/>
        <v>4</v>
      </c>
      <c r="U129" s="107">
        <f t="shared" si="72"/>
        <v>4.06666666666667</v>
      </c>
      <c r="V129" s="105">
        <f t="shared" si="73"/>
        <v>2</v>
      </c>
      <c r="W129" s="106">
        <f t="shared" si="74"/>
        <v>0.714285714285714</v>
      </c>
      <c r="X129" s="107">
        <f t="shared" si="75"/>
        <v>0.285714285714286</v>
      </c>
      <c r="Y129" s="105">
        <f t="shared" si="55"/>
        <v>0.868432479374729</v>
      </c>
      <c r="Z129" s="106">
        <f t="shared" si="56"/>
        <v>6.56176581270806</v>
      </c>
      <c r="AA129" s="106">
        <f t="shared" si="57"/>
        <v>4.07438654180567</v>
      </c>
      <c r="AB129" s="106">
        <v>0</v>
      </c>
      <c r="AC129" s="106">
        <f t="shared" si="58"/>
        <v>0.166006256920472</v>
      </c>
      <c r="AD129" s="107">
        <f t="shared" si="59"/>
        <v>0.166006256920472</v>
      </c>
      <c r="AE129" s="105">
        <f t="shared" si="60"/>
        <v>4.72507936507936</v>
      </c>
      <c r="AF129" s="106">
        <f t="shared" si="61"/>
        <v>4.07438654180567</v>
      </c>
      <c r="AG129" s="106">
        <f t="shared" si="76"/>
        <v>0.141105318382401</v>
      </c>
      <c r="AH129" s="106">
        <f t="shared" si="77"/>
        <v>0.482064500367817</v>
      </c>
      <c r="AI129" s="107">
        <f t="shared" si="62"/>
        <v>0.623169818750218</v>
      </c>
      <c r="AJ129" s="105">
        <f t="shared" si="63"/>
        <v>1.62666666666667</v>
      </c>
      <c r="AK129" s="106">
        <f t="shared" si="64"/>
        <v>3.2780530669502</v>
      </c>
      <c r="AL129" s="106">
        <f t="shared" si="65"/>
        <v>0.528666666666667</v>
      </c>
      <c r="AM129" s="106">
        <f t="shared" si="78"/>
        <v>0</v>
      </c>
      <c r="AN129" s="107">
        <f t="shared" si="66"/>
        <v>0.528666666666667</v>
      </c>
      <c r="AO129" s="105">
        <f t="shared" si="79"/>
        <v>0.166006256920472</v>
      </c>
      <c r="AP129" s="106">
        <f t="shared" si="54"/>
        <v>0.0756</v>
      </c>
      <c r="AQ129" s="107">
        <f t="shared" si="67"/>
        <v>0.0132</v>
      </c>
      <c r="AR129" s="105">
        <f t="shared" si="68"/>
        <v>1.40664274233736</v>
      </c>
      <c r="AS129" s="106">
        <f t="shared" si="69"/>
        <v>16.2666666666667</v>
      </c>
      <c r="AT129" s="107">
        <f t="shared" si="70"/>
        <v>92.0408639390384</v>
      </c>
    </row>
    <row r="130" spans="17:46">
      <c r="Q130">
        <v>123</v>
      </c>
      <c r="R130" s="105">
        <f t="shared" si="43"/>
        <v>10</v>
      </c>
      <c r="S130" s="106">
        <f t="shared" si="71"/>
        <v>1.64</v>
      </c>
      <c r="T130" s="106">
        <f t="shared" si="45"/>
        <v>4</v>
      </c>
      <c r="U130" s="107">
        <f t="shared" si="72"/>
        <v>4.1</v>
      </c>
      <c r="V130" s="105">
        <f t="shared" si="73"/>
        <v>2</v>
      </c>
      <c r="W130" s="106">
        <f t="shared" si="74"/>
        <v>0.714285714285714</v>
      </c>
      <c r="X130" s="107">
        <f t="shared" si="75"/>
        <v>0.285714285714286</v>
      </c>
      <c r="Y130" s="105">
        <f t="shared" si="55"/>
        <v>0.868432479374729</v>
      </c>
      <c r="Z130" s="106">
        <f t="shared" si="56"/>
        <v>6.60843247937473</v>
      </c>
      <c r="AA130" s="106">
        <f t="shared" si="57"/>
        <v>4.10765722940333</v>
      </c>
      <c r="AB130" s="106">
        <v>0</v>
      </c>
      <c r="AC130" s="106">
        <f t="shared" si="58"/>
        <v>0.168728479142694</v>
      </c>
      <c r="AD130" s="107">
        <f t="shared" si="59"/>
        <v>0.168728479142694</v>
      </c>
      <c r="AE130" s="105">
        <f t="shared" si="60"/>
        <v>4.80285714285714</v>
      </c>
      <c r="AF130" s="106">
        <f t="shared" si="61"/>
        <v>4.10765722940333</v>
      </c>
      <c r="AG130" s="106">
        <f t="shared" si="76"/>
        <v>0.14341920727129</v>
      </c>
      <c r="AH130" s="106">
        <f t="shared" si="77"/>
        <v>0.486015848731488</v>
      </c>
      <c r="AI130" s="107">
        <f t="shared" si="62"/>
        <v>0.629435056002778</v>
      </c>
      <c r="AJ130" s="105">
        <f t="shared" si="63"/>
        <v>1.64</v>
      </c>
      <c r="AK130" s="106">
        <f t="shared" si="64"/>
        <v>3.30297675648967</v>
      </c>
      <c r="AL130" s="106">
        <f t="shared" si="65"/>
        <v>0.533</v>
      </c>
      <c r="AM130" s="106">
        <f t="shared" si="78"/>
        <v>0</v>
      </c>
      <c r="AN130" s="107">
        <f t="shared" si="66"/>
        <v>0.533</v>
      </c>
      <c r="AO130" s="105">
        <f t="shared" si="79"/>
        <v>0.168728479142694</v>
      </c>
      <c r="AP130" s="106">
        <f t="shared" si="54"/>
        <v>0.0756</v>
      </c>
      <c r="AQ130" s="107">
        <f t="shared" si="67"/>
        <v>0.0132</v>
      </c>
      <c r="AR130" s="105">
        <f t="shared" si="68"/>
        <v>1.41996353514547</v>
      </c>
      <c r="AS130" s="106">
        <f t="shared" si="69"/>
        <v>16.4</v>
      </c>
      <c r="AT130" s="107">
        <f t="shared" si="70"/>
        <v>92.0316136879576</v>
      </c>
    </row>
    <row r="131" spans="17:46">
      <c r="Q131">
        <v>124</v>
      </c>
      <c r="R131" s="105">
        <f t="shared" si="43"/>
        <v>10</v>
      </c>
      <c r="S131" s="106">
        <f t="shared" si="71"/>
        <v>1.65333333333333</v>
      </c>
      <c r="T131" s="106">
        <f t="shared" si="45"/>
        <v>4</v>
      </c>
      <c r="U131" s="107">
        <f t="shared" si="72"/>
        <v>4.13333333333333</v>
      </c>
      <c r="V131" s="105">
        <f t="shared" si="73"/>
        <v>2</v>
      </c>
      <c r="W131" s="106">
        <f t="shared" si="74"/>
        <v>0.714285714285714</v>
      </c>
      <c r="X131" s="107">
        <f t="shared" si="75"/>
        <v>0.285714285714286</v>
      </c>
      <c r="Y131" s="105">
        <f t="shared" si="55"/>
        <v>0.868432479374729</v>
      </c>
      <c r="Z131" s="106">
        <f t="shared" si="56"/>
        <v>6.6550991460414</v>
      </c>
      <c r="AA131" s="106">
        <f t="shared" si="57"/>
        <v>4.14092892461509</v>
      </c>
      <c r="AB131" s="106">
        <v>0</v>
      </c>
      <c r="AC131" s="106">
        <f t="shared" si="58"/>
        <v>0.171472923587139</v>
      </c>
      <c r="AD131" s="107">
        <f t="shared" si="59"/>
        <v>0.171472923587139</v>
      </c>
      <c r="AE131" s="105">
        <f t="shared" si="60"/>
        <v>4.88126984126984</v>
      </c>
      <c r="AF131" s="106">
        <f t="shared" si="61"/>
        <v>4.14092892461509</v>
      </c>
      <c r="AG131" s="106">
        <f t="shared" si="76"/>
        <v>0.145751985049068</v>
      </c>
      <c r="AH131" s="106">
        <f t="shared" si="77"/>
        <v>0.489967197095158</v>
      </c>
      <c r="AI131" s="107">
        <f t="shared" si="62"/>
        <v>0.635719182144226</v>
      </c>
      <c r="AJ131" s="105">
        <f t="shared" si="63"/>
        <v>1.65333333333333</v>
      </c>
      <c r="AK131" s="106">
        <f t="shared" si="64"/>
        <v>3.32790075611111</v>
      </c>
      <c r="AL131" s="106">
        <f t="shared" si="65"/>
        <v>0.537333333333333</v>
      </c>
      <c r="AM131" s="106">
        <f t="shared" si="78"/>
        <v>0</v>
      </c>
      <c r="AN131" s="107">
        <f t="shared" si="66"/>
        <v>0.537333333333333</v>
      </c>
      <c r="AO131" s="105">
        <f t="shared" si="79"/>
        <v>0.171472923587139</v>
      </c>
      <c r="AP131" s="106">
        <f t="shared" si="54"/>
        <v>0.0756</v>
      </c>
      <c r="AQ131" s="107">
        <f t="shared" si="67"/>
        <v>0.0132</v>
      </c>
      <c r="AR131" s="105">
        <f t="shared" si="68"/>
        <v>1.4333254390647</v>
      </c>
      <c r="AS131" s="106">
        <f t="shared" si="69"/>
        <v>16.5333333333333</v>
      </c>
      <c r="AT131" s="107">
        <f t="shared" si="70"/>
        <v>92.022303883977</v>
      </c>
    </row>
    <row r="132" spans="17:46">
      <c r="Q132">
        <v>125</v>
      </c>
      <c r="R132" s="105">
        <f t="shared" si="43"/>
        <v>10</v>
      </c>
      <c r="S132" s="106">
        <f t="shared" si="71"/>
        <v>1.66666666666667</v>
      </c>
      <c r="T132" s="106">
        <f t="shared" si="45"/>
        <v>4</v>
      </c>
      <c r="U132" s="107">
        <f t="shared" si="72"/>
        <v>4.16666666666667</v>
      </c>
      <c r="V132" s="105">
        <f t="shared" si="73"/>
        <v>2</v>
      </c>
      <c r="W132" s="106">
        <f t="shared" si="74"/>
        <v>0.714285714285714</v>
      </c>
      <c r="X132" s="107">
        <f t="shared" si="75"/>
        <v>0.285714285714286</v>
      </c>
      <c r="Y132" s="105">
        <f t="shared" si="55"/>
        <v>0.868432479374729</v>
      </c>
      <c r="Z132" s="106">
        <f t="shared" si="56"/>
        <v>6.70176581270806</v>
      </c>
      <c r="AA132" s="106">
        <f t="shared" si="57"/>
        <v>4.1742016033465</v>
      </c>
      <c r="AB132" s="106">
        <v>0</v>
      </c>
      <c r="AC132" s="106">
        <f t="shared" si="58"/>
        <v>0.174239590253805</v>
      </c>
      <c r="AD132" s="107">
        <f t="shared" si="59"/>
        <v>0.174239590253805</v>
      </c>
      <c r="AE132" s="105">
        <f t="shared" si="60"/>
        <v>4.96031746031746</v>
      </c>
      <c r="AF132" s="106">
        <f t="shared" si="61"/>
        <v>4.1742016033465</v>
      </c>
      <c r="AG132" s="106">
        <f t="shared" si="76"/>
        <v>0.148103651715734</v>
      </c>
      <c r="AH132" s="106">
        <f t="shared" si="77"/>
        <v>0.493918545458829</v>
      </c>
      <c r="AI132" s="107">
        <f t="shared" si="62"/>
        <v>0.642022197174564</v>
      </c>
      <c r="AJ132" s="105">
        <f t="shared" si="63"/>
        <v>1.66666666666667</v>
      </c>
      <c r="AK132" s="106">
        <f t="shared" si="64"/>
        <v>3.35282505889932</v>
      </c>
      <c r="AL132" s="106">
        <f t="shared" si="65"/>
        <v>0.541666666666667</v>
      </c>
      <c r="AM132" s="106">
        <f t="shared" si="78"/>
        <v>0</v>
      </c>
      <c r="AN132" s="107">
        <f t="shared" si="66"/>
        <v>0.541666666666667</v>
      </c>
      <c r="AO132" s="105">
        <f t="shared" si="79"/>
        <v>0.174239590253805</v>
      </c>
      <c r="AP132" s="106">
        <f t="shared" si="54"/>
        <v>0.0756</v>
      </c>
      <c r="AQ132" s="107">
        <f t="shared" si="67"/>
        <v>0.0132</v>
      </c>
      <c r="AR132" s="105">
        <f t="shared" si="68"/>
        <v>1.44672845409504</v>
      </c>
      <c r="AS132" s="106">
        <f t="shared" si="69"/>
        <v>16.6666666666667</v>
      </c>
      <c r="AT132" s="107">
        <f t="shared" si="70"/>
        <v>92.0129360373926</v>
      </c>
    </row>
    <row r="133" spans="17:46">
      <c r="Q133">
        <v>126</v>
      </c>
      <c r="R133" s="105">
        <f t="shared" si="43"/>
        <v>10</v>
      </c>
      <c r="S133" s="106">
        <f t="shared" si="71"/>
        <v>1.68</v>
      </c>
      <c r="T133" s="106">
        <f t="shared" si="45"/>
        <v>4</v>
      </c>
      <c r="U133" s="107">
        <f t="shared" si="72"/>
        <v>4.2</v>
      </c>
      <c r="V133" s="105">
        <f t="shared" si="73"/>
        <v>2</v>
      </c>
      <c r="W133" s="106">
        <f t="shared" si="74"/>
        <v>0.714285714285714</v>
      </c>
      <c r="X133" s="107">
        <f t="shared" si="75"/>
        <v>0.285714285714286</v>
      </c>
      <c r="Y133" s="105">
        <f t="shared" si="55"/>
        <v>0.868432479374729</v>
      </c>
      <c r="Z133" s="106">
        <f t="shared" si="56"/>
        <v>6.74843247937473</v>
      </c>
      <c r="AA133" s="106">
        <f t="shared" si="57"/>
        <v>4.20747524226458</v>
      </c>
      <c r="AB133" s="106">
        <v>0</v>
      </c>
      <c r="AC133" s="106">
        <f t="shared" si="58"/>
        <v>0.177028479142694</v>
      </c>
      <c r="AD133" s="107">
        <f t="shared" si="59"/>
        <v>0.177028479142694</v>
      </c>
      <c r="AE133" s="105">
        <f t="shared" si="60"/>
        <v>5.04</v>
      </c>
      <c r="AF133" s="106">
        <f t="shared" si="61"/>
        <v>4.20747524226458</v>
      </c>
      <c r="AG133" s="106">
        <f t="shared" si="76"/>
        <v>0.15047420727129</v>
      </c>
      <c r="AH133" s="106">
        <f t="shared" si="77"/>
        <v>0.4978698938225</v>
      </c>
      <c r="AI133" s="107">
        <f t="shared" si="62"/>
        <v>0.64834410109379</v>
      </c>
      <c r="AJ133" s="105">
        <f t="shared" si="63"/>
        <v>1.68</v>
      </c>
      <c r="AK133" s="106">
        <f t="shared" si="64"/>
        <v>3.37774965814313</v>
      </c>
      <c r="AL133" s="106">
        <f t="shared" si="65"/>
        <v>0.546</v>
      </c>
      <c r="AM133" s="106">
        <f t="shared" si="78"/>
        <v>0</v>
      </c>
      <c r="AN133" s="107">
        <f t="shared" si="66"/>
        <v>0.546</v>
      </c>
      <c r="AO133" s="105">
        <f t="shared" si="79"/>
        <v>0.177028479142694</v>
      </c>
      <c r="AP133" s="106">
        <f t="shared" si="54"/>
        <v>0.0756</v>
      </c>
      <c r="AQ133" s="107">
        <f t="shared" si="67"/>
        <v>0.0132</v>
      </c>
      <c r="AR133" s="105">
        <f t="shared" si="68"/>
        <v>1.46017258023648</v>
      </c>
      <c r="AS133" s="106">
        <f t="shared" si="69"/>
        <v>16.8</v>
      </c>
      <c r="AT133" s="107">
        <f t="shared" si="70"/>
        <v>92.0035116107453</v>
      </c>
    </row>
    <row r="134" spans="17:46">
      <c r="Q134">
        <v>127</v>
      </c>
      <c r="R134" s="105">
        <f t="shared" si="43"/>
        <v>10</v>
      </c>
      <c r="S134" s="106">
        <f t="shared" si="71"/>
        <v>1.69333333333333</v>
      </c>
      <c r="T134" s="106">
        <f t="shared" si="45"/>
        <v>4</v>
      </c>
      <c r="U134" s="107">
        <f t="shared" si="72"/>
        <v>4.23333333333333</v>
      </c>
      <c r="V134" s="105">
        <f t="shared" si="73"/>
        <v>2</v>
      </c>
      <c r="W134" s="106">
        <f t="shared" si="74"/>
        <v>0.714285714285714</v>
      </c>
      <c r="X134" s="107">
        <f t="shared" si="75"/>
        <v>0.285714285714286</v>
      </c>
      <c r="Y134" s="105">
        <f t="shared" si="55"/>
        <v>0.868432479374729</v>
      </c>
      <c r="Z134" s="106">
        <f t="shared" si="56"/>
        <v>6.7950991460414</v>
      </c>
      <c r="AA134" s="106">
        <f t="shared" si="57"/>
        <v>4.24074981876796</v>
      </c>
      <c r="AB134" s="106">
        <v>0</v>
      </c>
      <c r="AC134" s="106">
        <f t="shared" si="58"/>
        <v>0.179839590253805</v>
      </c>
      <c r="AD134" s="107">
        <f t="shared" si="59"/>
        <v>0.179839590253805</v>
      </c>
      <c r="AE134" s="105">
        <f t="shared" si="60"/>
        <v>5.12031746031746</v>
      </c>
      <c r="AF134" s="106">
        <f t="shared" si="61"/>
        <v>4.24074981876796</v>
      </c>
      <c r="AG134" s="106">
        <f t="shared" si="76"/>
        <v>0.152863651715734</v>
      </c>
      <c r="AH134" s="106">
        <f t="shared" si="77"/>
        <v>0.50182124218617</v>
      </c>
      <c r="AI134" s="107">
        <f t="shared" si="62"/>
        <v>0.654684893901905</v>
      </c>
      <c r="AJ134" s="105">
        <f t="shared" si="63"/>
        <v>1.69333333333333</v>
      </c>
      <c r="AK134" s="106">
        <f t="shared" si="64"/>
        <v>3.40267454732791</v>
      </c>
      <c r="AL134" s="106">
        <f t="shared" si="65"/>
        <v>0.550333333333333</v>
      </c>
      <c r="AM134" s="106">
        <f t="shared" si="78"/>
        <v>0</v>
      </c>
      <c r="AN134" s="107">
        <f t="shared" si="66"/>
        <v>0.550333333333333</v>
      </c>
      <c r="AO134" s="105">
        <f t="shared" si="79"/>
        <v>0.179839590253805</v>
      </c>
      <c r="AP134" s="106">
        <f t="shared" si="54"/>
        <v>0.0756</v>
      </c>
      <c r="AQ134" s="107">
        <f t="shared" si="67"/>
        <v>0.0132</v>
      </c>
      <c r="AR134" s="105">
        <f t="shared" si="68"/>
        <v>1.47365781748904</v>
      </c>
      <c r="AS134" s="106">
        <f t="shared" si="69"/>
        <v>16.9333333333333</v>
      </c>
      <c r="AT134" s="107">
        <f t="shared" si="70"/>
        <v>91.9940320206912</v>
      </c>
    </row>
    <row r="135" spans="17:46">
      <c r="Q135">
        <v>128</v>
      </c>
      <c r="R135" s="105">
        <f t="shared" ref="R135:R157" si="80">VOUT</f>
        <v>10</v>
      </c>
      <c r="S135" s="106">
        <f t="shared" ref="S135:S157" si="81">Q135*$O$12</f>
        <v>1.70666666666667</v>
      </c>
      <c r="T135" s="106">
        <f t="shared" ref="T135:T157" si="82">VIN_var</f>
        <v>4</v>
      </c>
      <c r="U135" s="107">
        <f t="shared" ref="U135:U157" si="83">(R135*S135)/(T135*EFF_est)</f>
        <v>4.26666666666667</v>
      </c>
      <c r="V135" s="105">
        <f t="shared" ref="V135:V157" si="84">IF(S135&lt;((T135^2)*R135)/(2*Fsw*Lm*((T135+R135)^2)),1,2)</f>
        <v>2</v>
      </c>
      <c r="W135" s="106">
        <f t="shared" ref="W135:W157" si="85">CHOOSE(V135,SQRT(2*Lm*R135*S135*Fsw)/T135,R135/(T135+R135))</f>
        <v>0.714285714285714</v>
      </c>
      <c r="X135" s="107">
        <f t="shared" ref="X135:X157" si="86">CHOOSE(V135,(Lm*Z135*Fsw)/(R135),1-W135)</f>
        <v>0.285714285714286</v>
      </c>
      <c r="Y135" s="105">
        <f t="shared" si="55"/>
        <v>0.868432479374729</v>
      </c>
      <c r="Z135" s="106">
        <f t="shared" si="56"/>
        <v>6.84176581270806</v>
      </c>
      <c r="AA135" s="106">
        <f t="shared" si="57"/>
        <v>4.27402531095849</v>
      </c>
      <c r="AB135" s="106">
        <v>0</v>
      </c>
      <c r="AC135" s="106">
        <f t="shared" si="58"/>
        <v>0.182672923587139</v>
      </c>
      <c r="AD135" s="107">
        <f t="shared" si="59"/>
        <v>0.182672923587139</v>
      </c>
      <c r="AE135" s="105">
        <f t="shared" si="60"/>
        <v>5.20126984126984</v>
      </c>
      <c r="AF135" s="106">
        <f t="shared" si="61"/>
        <v>4.27402531095849</v>
      </c>
      <c r="AG135" s="106">
        <f t="shared" ref="AG135:AG157" si="87">(AF135^2)*RDS_on</f>
        <v>0.155271985049068</v>
      </c>
      <c r="AH135" s="106">
        <f t="shared" ref="AH135:AH157" si="88">(((R135+T135)*(U135+S135))/2)*Fsw*(tr_sw+tf_sw)</f>
        <v>0.505772590549841</v>
      </c>
      <c r="AI135" s="107">
        <f t="shared" si="62"/>
        <v>0.661044575598909</v>
      </c>
      <c r="AJ135" s="105">
        <f t="shared" si="63"/>
        <v>1.70666666666667</v>
      </c>
      <c r="AK135" s="106">
        <f t="shared" si="64"/>
        <v>3.42759972012849</v>
      </c>
      <c r="AL135" s="106">
        <f t="shared" si="65"/>
        <v>0.554666666666667</v>
      </c>
      <c r="AM135" s="106">
        <f t="shared" ref="AM135:AM157" si="89">(R135+T135+Vd_rect)*Qrr*Fsw</f>
        <v>0</v>
      </c>
      <c r="AN135" s="107">
        <f t="shared" si="66"/>
        <v>0.554666666666667</v>
      </c>
      <c r="AO135" s="105">
        <f t="shared" ref="AO135:AO157" si="90">(AF135^2)*R_cs</f>
        <v>0.182672923587139</v>
      </c>
      <c r="AP135" s="106">
        <f t="shared" ref="AP135:AP157" si="91">Qg_tot*Vcc*Fsw</f>
        <v>0.0756</v>
      </c>
      <c r="AQ135" s="107">
        <f t="shared" si="67"/>
        <v>0.0132</v>
      </c>
      <c r="AR135" s="105">
        <f t="shared" si="68"/>
        <v>1.48718416585271</v>
      </c>
      <c r="AS135" s="106">
        <f t="shared" si="69"/>
        <v>17.0666666666667</v>
      </c>
      <c r="AT135" s="107">
        <f t="shared" si="70"/>
        <v>91.9844986397858</v>
      </c>
    </row>
    <row r="136" spans="17:46">
      <c r="Q136">
        <v>129</v>
      </c>
      <c r="R136" s="105">
        <f t="shared" si="80"/>
        <v>10</v>
      </c>
      <c r="S136" s="106">
        <f t="shared" si="81"/>
        <v>1.72</v>
      </c>
      <c r="T136" s="106">
        <f t="shared" si="82"/>
        <v>4</v>
      </c>
      <c r="U136" s="107">
        <f t="shared" si="83"/>
        <v>4.3</v>
      </c>
      <c r="V136" s="105">
        <f t="shared" si="84"/>
        <v>2</v>
      </c>
      <c r="W136" s="106">
        <f t="shared" si="85"/>
        <v>0.714285714285714</v>
      </c>
      <c r="X136" s="107">
        <f t="shared" si="86"/>
        <v>0.285714285714286</v>
      </c>
      <c r="Y136" s="105">
        <f t="shared" ref="Y136:Y157" si="92">(T136*W136)/(Lm*Fsw)</f>
        <v>0.868432479374729</v>
      </c>
      <c r="Z136" s="106">
        <f t="shared" ref="Z136:Z157" si="93">CHOOSE(V136,Y136,U136+S136+(Y136))</f>
        <v>6.88843247937473</v>
      </c>
      <c r="AA136" s="106">
        <f t="shared" ref="AA136:AA157" si="94">CHOOSE(V136,Z136*SQRT((W136+X136)/3),SQRT((U136^2)+((Y136^2)/12)))</f>
        <v>4.30730169761411</v>
      </c>
      <c r="AB136" s="106">
        <v>0</v>
      </c>
      <c r="AC136" s="106">
        <f t="shared" ref="AC136:AC157" si="95">(AA136^2)*Rdcr</f>
        <v>0.185528479142694</v>
      </c>
      <c r="AD136" s="107">
        <f t="shared" ref="AD136:AD157" si="96">AB136+AC136</f>
        <v>0.185528479142694</v>
      </c>
      <c r="AE136" s="105">
        <f t="shared" ref="AE136:AE157" si="97">U136*S136*W136</f>
        <v>5.28285714285714</v>
      </c>
      <c r="AF136" s="106">
        <f t="shared" ref="AF136:AF157" si="98">AA136</f>
        <v>4.30730169761411</v>
      </c>
      <c r="AG136" s="106">
        <f t="shared" si="87"/>
        <v>0.15769920727129</v>
      </c>
      <c r="AH136" s="106">
        <f t="shared" si="88"/>
        <v>0.509723938913512</v>
      </c>
      <c r="AI136" s="107">
        <f t="shared" ref="AI136:AI157" si="99">AG136+AH136</f>
        <v>0.667423146184802</v>
      </c>
      <c r="AJ136" s="105">
        <f t="shared" ref="AJ136:AJ157" si="100">S136</f>
        <v>1.72</v>
      </c>
      <c r="AK136" s="106">
        <f t="shared" ref="AK136:AK157" si="101">CHOOSE(V136,Z136*SQRT(X136/3),SQRT(X136*((Z136^2)+((Y136^2)/3)-(Y136*Z136))))</f>
        <v>3.45252517040224</v>
      </c>
      <c r="AL136" s="106">
        <f t="shared" ref="AL136:AL157" si="102">S136*Vd_rect</f>
        <v>0.559</v>
      </c>
      <c r="AM136" s="106">
        <f t="shared" si="89"/>
        <v>0</v>
      </c>
      <c r="AN136" s="107">
        <f t="shared" ref="AN136:AN157" si="103">AL136+AM136</f>
        <v>0.559</v>
      </c>
      <c r="AO136" s="105">
        <f t="shared" si="90"/>
        <v>0.185528479142694</v>
      </c>
      <c r="AP136" s="106">
        <f t="shared" si="91"/>
        <v>0.0756</v>
      </c>
      <c r="AQ136" s="107">
        <f t="shared" ref="AQ136:AQ157" si="104">IQ*T136</f>
        <v>0.0132</v>
      </c>
      <c r="AR136" s="105">
        <f t="shared" ref="AR136:AR157" si="105">AO136+AN136+AI136+AP136+AQ136</f>
        <v>1.5007516253275</v>
      </c>
      <c r="AS136" s="106">
        <f t="shared" ref="AS136:AS157" si="106">R136*S136</f>
        <v>17.2</v>
      </c>
      <c r="AT136" s="107">
        <f t="shared" ref="AT136:AT157" si="107">(AS136/(AS136+AR136))*100</f>
        <v>91.9749127981843</v>
      </c>
    </row>
    <row r="137" spans="17:46">
      <c r="Q137">
        <v>130</v>
      </c>
      <c r="R137" s="105">
        <f t="shared" si="80"/>
        <v>10</v>
      </c>
      <c r="S137" s="106">
        <f t="shared" si="81"/>
        <v>1.73333333333333</v>
      </c>
      <c r="T137" s="106">
        <f t="shared" si="82"/>
        <v>4</v>
      </c>
      <c r="U137" s="107">
        <f t="shared" si="83"/>
        <v>4.33333333333333</v>
      </c>
      <c r="V137" s="105">
        <f t="shared" si="84"/>
        <v>2</v>
      </c>
      <c r="W137" s="106">
        <f t="shared" si="85"/>
        <v>0.714285714285714</v>
      </c>
      <c r="X137" s="107">
        <f t="shared" si="86"/>
        <v>0.285714285714286</v>
      </c>
      <c r="Y137" s="105">
        <f t="shared" si="92"/>
        <v>0.868432479374729</v>
      </c>
      <c r="Z137" s="106">
        <f t="shared" si="93"/>
        <v>6.9350991460414</v>
      </c>
      <c r="AA137" s="106">
        <f t="shared" si="94"/>
        <v>4.34057895816298</v>
      </c>
      <c r="AB137" s="106">
        <v>0</v>
      </c>
      <c r="AC137" s="106">
        <f t="shared" si="95"/>
        <v>0.188406256920472</v>
      </c>
      <c r="AD137" s="107">
        <f t="shared" si="96"/>
        <v>0.188406256920472</v>
      </c>
      <c r="AE137" s="105">
        <f t="shared" si="97"/>
        <v>5.36507936507937</v>
      </c>
      <c r="AF137" s="106">
        <f t="shared" si="98"/>
        <v>4.34057895816298</v>
      </c>
      <c r="AG137" s="106">
        <f t="shared" si="87"/>
        <v>0.160145318382401</v>
      </c>
      <c r="AH137" s="106">
        <f t="shared" si="88"/>
        <v>0.513675287277182</v>
      </c>
      <c r="AI137" s="107">
        <f t="shared" si="99"/>
        <v>0.673820605659583</v>
      </c>
      <c r="AJ137" s="105">
        <f t="shared" si="100"/>
        <v>1.73333333333333</v>
      </c>
      <c r="AK137" s="106">
        <f t="shared" si="101"/>
        <v>3.4774508921826</v>
      </c>
      <c r="AL137" s="106">
        <f t="shared" si="102"/>
        <v>0.563333333333333</v>
      </c>
      <c r="AM137" s="106">
        <f t="shared" si="89"/>
        <v>0</v>
      </c>
      <c r="AN137" s="107">
        <f t="shared" si="103"/>
        <v>0.563333333333333</v>
      </c>
      <c r="AO137" s="105">
        <f t="shared" si="90"/>
        <v>0.188406256920472</v>
      </c>
      <c r="AP137" s="106">
        <f t="shared" si="91"/>
        <v>0.0756</v>
      </c>
      <c r="AQ137" s="107">
        <f t="shared" si="104"/>
        <v>0.0132</v>
      </c>
      <c r="AR137" s="105">
        <f t="shared" si="105"/>
        <v>1.51436019591339</v>
      </c>
      <c r="AS137" s="106">
        <f t="shared" si="106"/>
        <v>17.3333333333333</v>
      </c>
      <c r="AT137" s="107">
        <f t="shared" si="107"/>
        <v>91.9652757852652</v>
      </c>
    </row>
    <row r="138" spans="17:46">
      <c r="Q138">
        <v>131</v>
      </c>
      <c r="R138" s="105">
        <f t="shared" si="80"/>
        <v>10</v>
      </c>
      <c r="S138" s="106">
        <f t="shared" si="81"/>
        <v>1.74666666666667</v>
      </c>
      <c r="T138" s="106">
        <f t="shared" si="82"/>
        <v>4</v>
      </c>
      <c r="U138" s="107">
        <f t="shared" si="83"/>
        <v>4.36666666666667</v>
      </c>
      <c r="V138" s="105">
        <f t="shared" si="84"/>
        <v>2</v>
      </c>
      <c r="W138" s="106">
        <f t="shared" si="85"/>
        <v>0.714285714285714</v>
      </c>
      <c r="X138" s="107">
        <f t="shared" si="86"/>
        <v>0.285714285714286</v>
      </c>
      <c r="Y138" s="105">
        <f t="shared" si="92"/>
        <v>0.868432479374729</v>
      </c>
      <c r="Z138" s="106">
        <f t="shared" si="93"/>
        <v>6.98176581270806</v>
      </c>
      <c r="AA138" s="106">
        <f t="shared" si="94"/>
        <v>4.37385707265878</v>
      </c>
      <c r="AB138" s="106">
        <v>0</v>
      </c>
      <c r="AC138" s="106">
        <f t="shared" si="95"/>
        <v>0.191306256920472</v>
      </c>
      <c r="AD138" s="107">
        <f t="shared" si="96"/>
        <v>0.191306256920472</v>
      </c>
      <c r="AE138" s="105">
        <f t="shared" si="97"/>
        <v>5.44793650793651</v>
      </c>
      <c r="AF138" s="106">
        <f t="shared" si="98"/>
        <v>4.37385707265878</v>
      </c>
      <c r="AG138" s="106">
        <f t="shared" si="87"/>
        <v>0.162610318382401</v>
      </c>
      <c r="AH138" s="106">
        <f t="shared" si="88"/>
        <v>0.517626635640853</v>
      </c>
      <c r="AI138" s="107">
        <f t="shared" si="99"/>
        <v>0.680236954023254</v>
      </c>
      <c r="AJ138" s="105">
        <f t="shared" si="100"/>
        <v>1.74666666666667</v>
      </c>
      <c r="AK138" s="106">
        <f t="shared" si="101"/>
        <v>3.5023768796728</v>
      </c>
      <c r="AL138" s="106">
        <f t="shared" si="102"/>
        <v>0.567666666666667</v>
      </c>
      <c r="AM138" s="106">
        <f t="shared" si="89"/>
        <v>0</v>
      </c>
      <c r="AN138" s="107">
        <f t="shared" si="103"/>
        <v>0.567666666666667</v>
      </c>
      <c r="AO138" s="105">
        <f t="shared" si="90"/>
        <v>0.191306256920472</v>
      </c>
      <c r="AP138" s="106">
        <f t="shared" si="91"/>
        <v>0.0756</v>
      </c>
      <c r="AQ138" s="107">
        <f t="shared" si="104"/>
        <v>0.0132</v>
      </c>
      <c r="AR138" s="105">
        <f t="shared" si="105"/>
        <v>1.52800987761039</v>
      </c>
      <c r="AS138" s="106">
        <f t="shared" si="106"/>
        <v>17.4666666666667</v>
      </c>
      <c r="AT138" s="107">
        <f t="shared" si="107"/>
        <v>91.9555888511786</v>
      </c>
    </row>
    <row r="139" spans="17:46">
      <c r="Q139">
        <v>132</v>
      </c>
      <c r="R139" s="105">
        <f t="shared" si="80"/>
        <v>10</v>
      </c>
      <c r="S139" s="106">
        <f t="shared" si="81"/>
        <v>1.76</v>
      </c>
      <c r="T139" s="106">
        <f t="shared" si="82"/>
        <v>4</v>
      </c>
      <c r="U139" s="107">
        <f t="shared" si="83"/>
        <v>4.4</v>
      </c>
      <c r="V139" s="105">
        <f t="shared" si="84"/>
        <v>2</v>
      </c>
      <c r="W139" s="106">
        <f t="shared" si="85"/>
        <v>0.714285714285714</v>
      </c>
      <c r="X139" s="107">
        <f t="shared" si="86"/>
        <v>0.285714285714286</v>
      </c>
      <c r="Y139" s="105">
        <f t="shared" si="92"/>
        <v>0.868432479374729</v>
      </c>
      <c r="Z139" s="106">
        <f t="shared" si="93"/>
        <v>7.02843247937473</v>
      </c>
      <c r="AA139" s="106">
        <f t="shared" si="94"/>
        <v>4.40713602175715</v>
      </c>
      <c r="AB139" s="106">
        <v>0</v>
      </c>
      <c r="AC139" s="106">
        <f t="shared" si="95"/>
        <v>0.194228479142694</v>
      </c>
      <c r="AD139" s="107">
        <f t="shared" si="96"/>
        <v>0.194228479142694</v>
      </c>
      <c r="AE139" s="105">
        <f t="shared" si="97"/>
        <v>5.53142857142857</v>
      </c>
      <c r="AF139" s="106">
        <f t="shared" si="98"/>
        <v>4.40713602175715</v>
      </c>
      <c r="AG139" s="106">
        <f t="shared" si="87"/>
        <v>0.16509420727129</v>
      </c>
      <c r="AH139" s="106">
        <f t="shared" si="88"/>
        <v>0.521577984004523</v>
      </c>
      <c r="AI139" s="107">
        <f t="shared" si="99"/>
        <v>0.686672191275814</v>
      </c>
      <c r="AJ139" s="105">
        <f t="shared" si="100"/>
        <v>1.76</v>
      </c>
      <c r="AK139" s="106">
        <f t="shared" si="101"/>
        <v>3.52730312723985</v>
      </c>
      <c r="AL139" s="106">
        <f t="shared" si="102"/>
        <v>0.572</v>
      </c>
      <c r="AM139" s="106">
        <f t="shared" si="89"/>
        <v>0</v>
      </c>
      <c r="AN139" s="107">
        <f t="shared" si="103"/>
        <v>0.572</v>
      </c>
      <c r="AO139" s="105">
        <f t="shared" si="90"/>
        <v>0.194228479142694</v>
      </c>
      <c r="AP139" s="106">
        <f t="shared" si="91"/>
        <v>0.0756</v>
      </c>
      <c r="AQ139" s="107">
        <f t="shared" si="104"/>
        <v>0.0132</v>
      </c>
      <c r="AR139" s="105">
        <f t="shared" si="105"/>
        <v>1.54170067041851</v>
      </c>
      <c r="AS139" s="106">
        <f t="shared" si="106"/>
        <v>17.6</v>
      </c>
      <c r="AT139" s="107">
        <f t="shared" si="107"/>
        <v>91.9458532083252</v>
      </c>
    </row>
    <row r="140" spans="17:46">
      <c r="Q140">
        <v>133</v>
      </c>
      <c r="R140" s="105">
        <f t="shared" si="80"/>
        <v>10</v>
      </c>
      <c r="S140" s="106">
        <f t="shared" si="81"/>
        <v>1.77333333333333</v>
      </c>
      <c r="T140" s="106">
        <f t="shared" si="82"/>
        <v>4</v>
      </c>
      <c r="U140" s="107">
        <f t="shared" si="83"/>
        <v>4.43333333333333</v>
      </c>
      <c r="V140" s="105">
        <f t="shared" si="84"/>
        <v>2</v>
      </c>
      <c r="W140" s="106">
        <f t="shared" si="85"/>
        <v>0.714285714285714</v>
      </c>
      <c r="X140" s="107">
        <f t="shared" si="86"/>
        <v>0.285714285714286</v>
      </c>
      <c r="Y140" s="105">
        <f t="shared" si="92"/>
        <v>0.868432479374729</v>
      </c>
      <c r="Z140" s="106">
        <f t="shared" si="93"/>
        <v>7.0750991460414</v>
      </c>
      <c r="AA140" s="106">
        <f t="shared" si="94"/>
        <v>4.44041578669316</v>
      </c>
      <c r="AB140" s="106">
        <v>0</v>
      </c>
      <c r="AC140" s="106">
        <f t="shared" si="95"/>
        <v>0.197172923587139</v>
      </c>
      <c r="AD140" s="107">
        <f t="shared" si="96"/>
        <v>0.197172923587139</v>
      </c>
      <c r="AE140" s="105">
        <f t="shared" si="97"/>
        <v>5.61555555555556</v>
      </c>
      <c r="AF140" s="106">
        <f t="shared" si="98"/>
        <v>4.44041578669316</v>
      </c>
      <c r="AG140" s="106">
        <f t="shared" si="87"/>
        <v>0.167596985049068</v>
      </c>
      <c r="AH140" s="106">
        <f t="shared" si="88"/>
        <v>0.525529332368194</v>
      </c>
      <c r="AI140" s="107">
        <f t="shared" si="99"/>
        <v>0.693126317417262</v>
      </c>
      <c r="AJ140" s="105">
        <f t="shared" si="100"/>
        <v>1.77333333333333</v>
      </c>
      <c r="AK140" s="106">
        <f t="shared" si="101"/>
        <v>3.55222962940881</v>
      </c>
      <c r="AL140" s="106">
        <f t="shared" si="102"/>
        <v>0.576333333333333</v>
      </c>
      <c r="AM140" s="106">
        <f t="shared" si="89"/>
        <v>0</v>
      </c>
      <c r="AN140" s="107">
        <f t="shared" si="103"/>
        <v>0.576333333333333</v>
      </c>
      <c r="AO140" s="105">
        <f t="shared" si="90"/>
        <v>0.197172923587139</v>
      </c>
      <c r="AP140" s="106">
        <f t="shared" si="91"/>
        <v>0.0756</v>
      </c>
      <c r="AQ140" s="107">
        <f t="shared" si="104"/>
        <v>0.0132</v>
      </c>
      <c r="AR140" s="105">
        <f t="shared" si="105"/>
        <v>1.55543257433773</v>
      </c>
      <c r="AS140" s="106">
        <f t="shared" si="106"/>
        <v>17.7333333333333</v>
      </c>
      <c r="AT140" s="107">
        <f t="shared" si="107"/>
        <v>91.936070032769</v>
      </c>
    </row>
    <row r="141" spans="17:46">
      <c r="Q141">
        <v>134</v>
      </c>
      <c r="R141" s="105">
        <f t="shared" si="80"/>
        <v>10</v>
      </c>
      <c r="S141" s="106">
        <f t="shared" si="81"/>
        <v>1.78666666666667</v>
      </c>
      <c r="T141" s="106">
        <f t="shared" si="82"/>
        <v>4</v>
      </c>
      <c r="U141" s="107">
        <f t="shared" si="83"/>
        <v>4.46666666666667</v>
      </c>
      <c r="V141" s="105">
        <f t="shared" si="84"/>
        <v>2</v>
      </c>
      <c r="W141" s="106">
        <f t="shared" si="85"/>
        <v>0.714285714285714</v>
      </c>
      <c r="X141" s="107">
        <f t="shared" si="86"/>
        <v>0.285714285714286</v>
      </c>
      <c r="Y141" s="105">
        <f t="shared" si="92"/>
        <v>0.868432479374729</v>
      </c>
      <c r="Z141" s="106">
        <f t="shared" si="93"/>
        <v>7.12176581270806</v>
      </c>
      <c r="AA141" s="106">
        <f t="shared" si="94"/>
        <v>4.47369634925981</v>
      </c>
      <c r="AB141" s="106">
        <v>0</v>
      </c>
      <c r="AC141" s="106">
        <f t="shared" si="95"/>
        <v>0.200139590253805</v>
      </c>
      <c r="AD141" s="107">
        <f t="shared" si="96"/>
        <v>0.200139590253805</v>
      </c>
      <c r="AE141" s="105">
        <f t="shared" si="97"/>
        <v>5.70031746031746</v>
      </c>
      <c r="AF141" s="106">
        <f t="shared" si="98"/>
        <v>4.47369634925981</v>
      </c>
      <c r="AG141" s="106">
        <f t="shared" si="87"/>
        <v>0.170118651715734</v>
      </c>
      <c r="AH141" s="106">
        <f t="shared" si="88"/>
        <v>0.529480680731865</v>
      </c>
      <c r="AI141" s="107">
        <f t="shared" si="99"/>
        <v>0.699599332447599</v>
      </c>
      <c r="AJ141" s="105">
        <f t="shared" si="100"/>
        <v>1.78666666666667</v>
      </c>
      <c r="AK141" s="106">
        <f t="shared" si="101"/>
        <v>3.57715638085732</v>
      </c>
      <c r="AL141" s="106">
        <f t="shared" si="102"/>
        <v>0.580666666666667</v>
      </c>
      <c r="AM141" s="106">
        <f t="shared" si="89"/>
        <v>0</v>
      </c>
      <c r="AN141" s="107">
        <f t="shared" si="103"/>
        <v>0.580666666666667</v>
      </c>
      <c r="AO141" s="105">
        <f t="shared" si="90"/>
        <v>0.200139590253805</v>
      </c>
      <c r="AP141" s="106">
        <f t="shared" si="91"/>
        <v>0.0756</v>
      </c>
      <c r="AQ141" s="107">
        <f t="shared" si="104"/>
        <v>0.0132</v>
      </c>
      <c r="AR141" s="105">
        <f t="shared" si="105"/>
        <v>1.56920558936807</v>
      </c>
      <c r="AS141" s="106">
        <f t="shared" si="106"/>
        <v>17.8666666666667</v>
      </c>
      <c r="AT141" s="107">
        <f t="shared" si="107"/>
        <v>91.9262404655863</v>
      </c>
    </row>
    <row r="142" spans="17:46">
      <c r="Q142">
        <v>135</v>
      </c>
      <c r="R142" s="105">
        <f t="shared" si="80"/>
        <v>10</v>
      </c>
      <c r="S142" s="106">
        <f t="shared" si="81"/>
        <v>1.8</v>
      </c>
      <c r="T142" s="106">
        <f t="shared" si="82"/>
        <v>4</v>
      </c>
      <c r="U142" s="107">
        <f t="shared" si="83"/>
        <v>4.5</v>
      </c>
      <c r="V142" s="105">
        <f t="shared" si="84"/>
        <v>2</v>
      </c>
      <c r="W142" s="106">
        <f t="shared" si="85"/>
        <v>0.714285714285714</v>
      </c>
      <c r="X142" s="107">
        <f t="shared" si="86"/>
        <v>0.285714285714286</v>
      </c>
      <c r="Y142" s="105">
        <f t="shared" si="92"/>
        <v>0.868432479374729</v>
      </c>
      <c r="Z142" s="106">
        <f t="shared" si="93"/>
        <v>7.16843247937473</v>
      </c>
      <c r="AA142" s="106">
        <f t="shared" si="94"/>
        <v>4.50697769178741</v>
      </c>
      <c r="AB142" s="106">
        <v>0</v>
      </c>
      <c r="AC142" s="106">
        <f t="shared" si="95"/>
        <v>0.203128479142694</v>
      </c>
      <c r="AD142" s="107">
        <f t="shared" si="96"/>
        <v>0.203128479142694</v>
      </c>
      <c r="AE142" s="105">
        <f t="shared" si="97"/>
        <v>5.78571428571429</v>
      </c>
      <c r="AF142" s="106">
        <f t="shared" si="98"/>
        <v>4.50697769178741</v>
      </c>
      <c r="AG142" s="106">
        <f t="shared" si="87"/>
        <v>0.17265920727129</v>
      </c>
      <c r="AH142" s="106">
        <f t="shared" si="88"/>
        <v>0.533432029095535</v>
      </c>
      <c r="AI142" s="107">
        <f t="shared" si="99"/>
        <v>0.706091236366825</v>
      </c>
      <c r="AJ142" s="105">
        <f t="shared" si="100"/>
        <v>1.8</v>
      </c>
      <c r="AK142" s="106">
        <f t="shared" si="101"/>
        <v>3.60208337641024</v>
      </c>
      <c r="AL142" s="106">
        <f t="shared" si="102"/>
        <v>0.585</v>
      </c>
      <c r="AM142" s="106">
        <f t="shared" si="89"/>
        <v>0</v>
      </c>
      <c r="AN142" s="107">
        <f t="shared" si="103"/>
        <v>0.585</v>
      </c>
      <c r="AO142" s="105">
        <f t="shared" si="90"/>
        <v>0.203128479142694</v>
      </c>
      <c r="AP142" s="106">
        <f t="shared" si="91"/>
        <v>0.0756</v>
      </c>
      <c r="AQ142" s="107">
        <f t="shared" si="104"/>
        <v>0.0132</v>
      </c>
      <c r="AR142" s="105">
        <f t="shared" si="105"/>
        <v>1.58301971550952</v>
      </c>
      <c r="AS142" s="106">
        <f t="shared" si="106"/>
        <v>18</v>
      </c>
      <c r="AT142" s="107">
        <f t="shared" si="107"/>
        <v>91.9163656141561</v>
      </c>
    </row>
    <row r="143" spans="17:46">
      <c r="Q143">
        <v>136</v>
      </c>
      <c r="R143" s="105">
        <f t="shared" si="80"/>
        <v>10</v>
      </c>
      <c r="S143" s="106">
        <f t="shared" si="81"/>
        <v>1.81333333333333</v>
      </c>
      <c r="T143" s="106">
        <f t="shared" si="82"/>
        <v>4</v>
      </c>
      <c r="U143" s="107">
        <f t="shared" si="83"/>
        <v>4.53333333333333</v>
      </c>
      <c r="V143" s="105">
        <f t="shared" si="84"/>
        <v>2</v>
      </c>
      <c r="W143" s="106">
        <f t="shared" si="85"/>
        <v>0.714285714285714</v>
      </c>
      <c r="X143" s="107">
        <f t="shared" si="86"/>
        <v>0.285714285714286</v>
      </c>
      <c r="Y143" s="105">
        <f t="shared" si="92"/>
        <v>0.868432479374729</v>
      </c>
      <c r="Z143" s="106">
        <f t="shared" si="93"/>
        <v>7.2150991460414</v>
      </c>
      <c r="AA143" s="106">
        <f t="shared" si="94"/>
        <v>4.54025979712401</v>
      </c>
      <c r="AB143" s="106">
        <v>0</v>
      </c>
      <c r="AC143" s="106">
        <f t="shared" si="95"/>
        <v>0.206139590253805</v>
      </c>
      <c r="AD143" s="107">
        <f t="shared" si="96"/>
        <v>0.206139590253805</v>
      </c>
      <c r="AE143" s="105">
        <f t="shared" si="97"/>
        <v>5.87174603174603</v>
      </c>
      <c r="AF143" s="106">
        <f t="shared" si="98"/>
        <v>4.54025979712401</v>
      </c>
      <c r="AG143" s="106">
        <f t="shared" si="87"/>
        <v>0.175218651715734</v>
      </c>
      <c r="AH143" s="106">
        <f t="shared" si="88"/>
        <v>0.537383377459206</v>
      </c>
      <c r="AI143" s="107">
        <f t="shared" si="99"/>
        <v>0.71260202917494</v>
      </c>
      <c r="AJ143" s="105">
        <f t="shared" si="100"/>
        <v>1.81333333333333</v>
      </c>
      <c r="AK143" s="106">
        <f t="shared" si="101"/>
        <v>3.62701061103468</v>
      </c>
      <c r="AL143" s="106">
        <f t="shared" si="102"/>
        <v>0.589333333333333</v>
      </c>
      <c r="AM143" s="106">
        <f t="shared" si="89"/>
        <v>0</v>
      </c>
      <c r="AN143" s="107">
        <f t="shared" si="103"/>
        <v>0.589333333333333</v>
      </c>
      <c r="AO143" s="105">
        <f t="shared" si="90"/>
        <v>0.206139590253805</v>
      </c>
      <c r="AP143" s="106">
        <f t="shared" si="91"/>
        <v>0.0756</v>
      </c>
      <c r="AQ143" s="107">
        <f t="shared" si="104"/>
        <v>0.0132</v>
      </c>
      <c r="AR143" s="105">
        <f t="shared" si="105"/>
        <v>1.59687495276208</v>
      </c>
      <c r="AS143" s="106">
        <f t="shared" si="106"/>
        <v>18.1333333333333</v>
      </c>
      <c r="AT143" s="107">
        <f t="shared" si="107"/>
        <v>91.9064465533927</v>
      </c>
    </row>
    <row r="144" spans="17:46">
      <c r="Q144">
        <v>137</v>
      </c>
      <c r="R144" s="105">
        <f t="shared" si="80"/>
        <v>10</v>
      </c>
      <c r="S144" s="106">
        <f t="shared" si="81"/>
        <v>1.82666666666667</v>
      </c>
      <c r="T144" s="106">
        <f t="shared" si="82"/>
        <v>4</v>
      </c>
      <c r="U144" s="107">
        <f t="shared" si="83"/>
        <v>4.56666666666667</v>
      </c>
      <c r="V144" s="105">
        <f t="shared" si="84"/>
        <v>2</v>
      </c>
      <c r="W144" s="106">
        <f t="shared" si="85"/>
        <v>0.714285714285714</v>
      </c>
      <c r="X144" s="107">
        <f t="shared" si="86"/>
        <v>0.285714285714286</v>
      </c>
      <c r="Y144" s="105">
        <f t="shared" si="92"/>
        <v>0.868432479374729</v>
      </c>
      <c r="Z144" s="106">
        <f t="shared" si="93"/>
        <v>7.26176581270806</v>
      </c>
      <c r="AA144" s="106">
        <f t="shared" si="94"/>
        <v>4.57354264861648</v>
      </c>
      <c r="AB144" s="106">
        <v>0</v>
      </c>
      <c r="AC144" s="106">
        <f t="shared" si="95"/>
        <v>0.209172923587139</v>
      </c>
      <c r="AD144" s="107">
        <f t="shared" si="96"/>
        <v>0.209172923587139</v>
      </c>
      <c r="AE144" s="105">
        <f t="shared" si="97"/>
        <v>5.9584126984127</v>
      </c>
      <c r="AF144" s="106">
        <f t="shared" si="98"/>
        <v>4.57354264861648</v>
      </c>
      <c r="AG144" s="106">
        <f t="shared" si="87"/>
        <v>0.177796985049068</v>
      </c>
      <c r="AH144" s="106">
        <f t="shared" si="88"/>
        <v>0.541334725822877</v>
      </c>
      <c r="AI144" s="107">
        <f t="shared" si="99"/>
        <v>0.719131710871944</v>
      </c>
      <c r="AJ144" s="105">
        <f t="shared" si="100"/>
        <v>1.82666666666667</v>
      </c>
      <c r="AK144" s="106">
        <f t="shared" si="101"/>
        <v>3.65193807983513</v>
      </c>
      <c r="AL144" s="106">
        <f t="shared" si="102"/>
        <v>0.593666666666667</v>
      </c>
      <c r="AM144" s="106">
        <f t="shared" si="89"/>
        <v>0</v>
      </c>
      <c r="AN144" s="107">
        <f t="shared" si="103"/>
        <v>0.593666666666667</v>
      </c>
      <c r="AO144" s="105">
        <f t="shared" si="90"/>
        <v>0.209172923587139</v>
      </c>
      <c r="AP144" s="106">
        <f t="shared" si="91"/>
        <v>0.0756</v>
      </c>
      <c r="AQ144" s="107">
        <f t="shared" si="104"/>
        <v>0.0132</v>
      </c>
      <c r="AR144" s="105">
        <f t="shared" si="105"/>
        <v>1.61077130112575</v>
      </c>
      <c r="AS144" s="106">
        <f t="shared" si="106"/>
        <v>18.2666666666667</v>
      </c>
      <c r="AT144" s="107">
        <f t="shared" si="107"/>
        <v>91.8964843269253</v>
      </c>
    </row>
    <row r="145" spans="17:46">
      <c r="Q145">
        <v>138</v>
      </c>
      <c r="R145" s="105">
        <f t="shared" si="80"/>
        <v>10</v>
      </c>
      <c r="S145" s="106">
        <f t="shared" si="81"/>
        <v>1.84</v>
      </c>
      <c r="T145" s="106">
        <f t="shared" si="82"/>
        <v>4</v>
      </c>
      <c r="U145" s="107">
        <f t="shared" si="83"/>
        <v>4.6</v>
      </c>
      <c r="V145" s="105">
        <f t="shared" si="84"/>
        <v>2</v>
      </c>
      <c r="W145" s="106">
        <f t="shared" si="85"/>
        <v>0.714285714285714</v>
      </c>
      <c r="X145" s="107">
        <f t="shared" si="86"/>
        <v>0.285714285714286</v>
      </c>
      <c r="Y145" s="105">
        <f t="shared" si="92"/>
        <v>0.868432479374729</v>
      </c>
      <c r="Z145" s="106">
        <f t="shared" si="93"/>
        <v>7.30843247937473</v>
      </c>
      <c r="AA145" s="106">
        <f t="shared" si="94"/>
        <v>4.60682623009262</v>
      </c>
      <c r="AB145" s="106">
        <v>0</v>
      </c>
      <c r="AC145" s="106">
        <f t="shared" si="95"/>
        <v>0.212228479142694</v>
      </c>
      <c r="AD145" s="107">
        <f t="shared" si="96"/>
        <v>0.212228479142694</v>
      </c>
      <c r="AE145" s="105">
        <f t="shared" si="97"/>
        <v>6.04571428571429</v>
      </c>
      <c r="AF145" s="106">
        <f t="shared" si="98"/>
        <v>4.60682623009262</v>
      </c>
      <c r="AG145" s="106">
        <f t="shared" si="87"/>
        <v>0.18039420727129</v>
      </c>
      <c r="AH145" s="106">
        <f t="shared" si="88"/>
        <v>0.545286074186547</v>
      </c>
      <c r="AI145" s="107">
        <f t="shared" si="99"/>
        <v>0.725680281457837</v>
      </c>
      <c r="AJ145" s="105">
        <f t="shared" si="100"/>
        <v>1.84</v>
      </c>
      <c r="AK145" s="106">
        <f t="shared" si="101"/>
        <v>3.67686577804874</v>
      </c>
      <c r="AL145" s="106">
        <f t="shared" si="102"/>
        <v>0.598</v>
      </c>
      <c r="AM145" s="106">
        <f t="shared" si="89"/>
        <v>0</v>
      </c>
      <c r="AN145" s="107">
        <f t="shared" si="103"/>
        <v>0.598</v>
      </c>
      <c r="AO145" s="105">
        <f t="shared" si="90"/>
        <v>0.212228479142694</v>
      </c>
      <c r="AP145" s="106">
        <f t="shared" si="91"/>
        <v>0.0756</v>
      </c>
      <c r="AQ145" s="107">
        <f t="shared" si="104"/>
        <v>0.0132</v>
      </c>
      <c r="AR145" s="105">
        <f t="shared" si="105"/>
        <v>1.62470876060053</v>
      </c>
      <c r="AS145" s="106">
        <f t="shared" si="106"/>
        <v>18.4</v>
      </c>
      <c r="AT145" s="107">
        <f t="shared" si="107"/>
        <v>91.8864799482267</v>
      </c>
    </row>
    <row r="146" spans="17:46">
      <c r="Q146">
        <v>139</v>
      </c>
      <c r="R146" s="105">
        <f t="shared" si="80"/>
        <v>10</v>
      </c>
      <c r="S146" s="106">
        <f t="shared" si="81"/>
        <v>1.85333333333333</v>
      </c>
      <c r="T146" s="106">
        <f t="shared" si="82"/>
        <v>4</v>
      </c>
      <c r="U146" s="107">
        <f t="shared" si="83"/>
        <v>4.63333333333333</v>
      </c>
      <c r="V146" s="105">
        <f t="shared" si="84"/>
        <v>2</v>
      </c>
      <c r="W146" s="106">
        <f t="shared" si="85"/>
        <v>0.714285714285714</v>
      </c>
      <c r="X146" s="107">
        <f t="shared" si="86"/>
        <v>0.285714285714286</v>
      </c>
      <c r="Y146" s="105">
        <f t="shared" si="92"/>
        <v>0.868432479374729</v>
      </c>
      <c r="Z146" s="106">
        <f t="shared" si="93"/>
        <v>7.3550991460414</v>
      </c>
      <c r="AA146" s="106">
        <f t="shared" si="94"/>
        <v>4.64011052584388</v>
      </c>
      <c r="AB146" s="106">
        <v>0</v>
      </c>
      <c r="AC146" s="106">
        <f t="shared" si="95"/>
        <v>0.215306256920472</v>
      </c>
      <c r="AD146" s="107">
        <f t="shared" si="96"/>
        <v>0.215306256920472</v>
      </c>
      <c r="AE146" s="105">
        <f t="shared" si="97"/>
        <v>6.1336507936508</v>
      </c>
      <c r="AF146" s="106">
        <f t="shared" si="98"/>
        <v>4.64011052584388</v>
      </c>
      <c r="AG146" s="106">
        <f t="shared" si="87"/>
        <v>0.183010318382401</v>
      </c>
      <c r="AH146" s="106">
        <f t="shared" si="88"/>
        <v>0.549237422550218</v>
      </c>
      <c r="AI146" s="107">
        <f t="shared" si="99"/>
        <v>0.732247740932619</v>
      </c>
      <c r="AJ146" s="105">
        <f t="shared" si="100"/>
        <v>1.85333333333333</v>
      </c>
      <c r="AK146" s="106">
        <f t="shared" si="101"/>
        <v>3.70179370104096</v>
      </c>
      <c r="AL146" s="106">
        <f t="shared" si="102"/>
        <v>0.602333333333333</v>
      </c>
      <c r="AM146" s="106">
        <f t="shared" si="89"/>
        <v>0</v>
      </c>
      <c r="AN146" s="107">
        <f t="shared" si="103"/>
        <v>0.602333333333333</v>
      </c>
      <c r="AO146" s="105">
        <f t="shared" si="90"/>
        <v>0.215306256920472</v>
      </c>
      <c r="AP146" s="106">
        <f t="shared" si="91"/>
        <v>0.0756</v>
      </c>
      <c r="AQ146" s="107">
        <f t="shared" si="104"/>
        <v>0.0132</v>
      </c>
      <c r="AR146" s="105">
        <f t="shared" si="105"/>
        <v>1.63868733118642</v>
      </c>
      <c r="AS146" s="106">
        <f t="shared" si="106"/>
        <v>18.5333333333333</v>
      </c>
      <c r="AT146" s="107">
        <f t="shared" si="107"/>
        <v>91.8764344016924</v>
      </c>
    </row>
    <row r="147" spans="17:46">
      <c r="Q147">
        <v>140</v>
      </c>
      <c r="R147" s="105">
        <f t="shared" si="80"/>
        <v>10</v>
      </c>
      <c r="S147" s="106">
        <f t="shared" si="81"/>
        <v>1.86666666666667</v>
      </c>
      <c r="T147" s="106">
        <f t="shared" si="82"/>
        <v>4</v>
      </c>
      <c r="U147" s="107">
        <f t="shared" si="83"/>
        <v>4.66666666666667</v>
      </c>
      <c r="V147" s="105">
        <f t="shared" si="84"/>
        <v>2</v>
      </c>
      <c r="W147" s="106">
        <f t="shared" si="85"/>
        <v>0.714285714285714</v>
      </c>
      <c r="X147" s="107">
        <f t="shared" si="86"/>
        <v>0.285714285714286</v>
      </c>
      <c r="Y147" s="105">
        <f t="shared" si="92"/>
        <v>0.868432479374729</v>
      </c>
      <c r="Z147" s="106">
        <f t="shared" si="93"/>
        <v>7.40176581270806</v>
      </c>
      <c r="AA147" s="106">
        <f t="shared" si="94"/>
        <v>4.67339552060889</v>
      </c>
      <c r="AB147" s="106">
        <v>0</v>
      </c>
      <c r="AC147" s="106">
        <f t="shared" si="95"/>
        <v>0.218406256920472</v>
      </c>
      <c r="AD147" s="107">
        <f t="shared" si="96"/>
        <v>0.218406256920472</v>
      </c>
      <c r="AE147" s="105">
        <f t="shared" si="97"/>
        <v>6.22222222222222</v>
      </c>
      <c r="AF147" s="106">
        <f t="shared" si="98"/>
        <v>4.67339552060889</v>
      </c>
      <c r="AG147" s="106">
        <f t="shared" si="87"/>
        <v>0.185645318382401</v>
      </c>
      <c r="AH147" s="106">
        <f t="shared" si="88"/>
        <v>0.553188770913889</v>
      </c>
      <c r="AI147" s="107">
        <f t="shared" si="99"/>
        <v>0.73883408929629</v>
      </c>
      <c r="AJ147" s="105">
        <f t="shared" si="100"/>
        <v>1.86666666666667</v>
      </c>
      <c r="AK147" s="106">
        <f t="shared" si="101"/>
        <v>3.72672184430117</v>
      </c>
      <c r="AL147" s="106">
        <f t="shared" si="102"/>
        <v>0.606666666666667</v>
      </c>
      <c r="AM147" s="106">
        <f t="shared" si="89"/>
        <v>0</v>
      </c>
      <c r="AN147" s="107">
        <f t="shared" si="103"/>
        <v>0.606666666666667</v>
      </c>
      <c r="AO147" s="105">
        <f t="shared" si="90"/>
        <v>0.218406256920472</v>
      </c>
      <c r="AP147" s="106">
        <f t="shared" si="91"/>
        <v>0.0756</v>
      </c>
      <c r="AQ147" s="107">
        <f t="shared" si="104"/>
        <v>0.0132</v>
      </c>
      <c r="AR147" s="105">
        <f t="shared" si="105"/>
        <v>1.65270701288343</v>
      </c>
      <c r="AS147" s="106">
        <f t="shared" si="106"/>
        <v>18.6666666666667</v>
      </c>
      <c r="AT147" s="107">
        <f t="shared" si="107"/>
        <v>91.8663486436752</v>
      </c>
    </row>
    <row r="148" spans="17:46">
      <c r="Q148">
        <v>141</v>
      </c>
      <c r="R148" s="105">
        <f t="shared" si="80"/>
        <v>10</v>
      </c>
      <c r="S148" s="106">
        <f t="shared" si="81"/>
        <v>1.88</v>
      </c>
      <c r="T148" s="106">
        <f t="shared" si="82"/>
        <v>4</v>
      </c>
      <c r="U148" s="107">
        <f t="shared" si="83"/>
        <v>4.7</v>
      </c>
      <c r="V148" s="105">
        <f t="shared" si="84"/>
        <v>2</v>
      </c>
      <c r="W148" s="106">
        <f t="shared" si="85"/>
        <v>0.714285714285714</v>
      </c>
      <c r="X148" s="107">
        <f t="shared" si="86"/>
        <v>0.285714285714286</v>
      </c>
      <c r="Y148" s="105">
        <f t="shared" si="92"/>
        <v>0.868432479374729</v>
      </c>
      <c r="Z148" s="106">
        <f t="shared" si="93"/>
        <v>7.44843247937473</v>
      </c>
      <c r="AA148" s="106">
        <f t="shared" si="94"/>
        <v>4.70668119955765</v>
      </c>
      <c r="AB148" s="106">
        <v>0</v>
      </c>
      <c r="AC148" s="106">
        <f t="shared" si="95"/>
        <v>0.221528479142694</v>
      </c>
      <c r="AD148" s="107">
        <f t="shared" si="96"/>
        <v>0.221528479142694</v>
      </c>
      <c r="AE148" s="105">
        <f t="shared" si="97"/>
        <v>6.31142857142857</v>
      </c>
      <c r="AF148" s="106">
        <f t="shared" si="98"/>
        <v>4.70668119955765</v>
      </c>
      <c r="AG148" s="106">
        <f t="shared" si="87"/>
        <v>0.18829920727129</v>
      </c>
      <c r="AH148" s="106">
        <f t="shared" si="88"/>
        <v>0.557140119277559</v>
      </c>
      <c r="AI148" s="107">
        <f t="shared" si="99"/>
        <v>0.745439326548849</v>
      </c>
      <c r="AJ148" s="105">
        <f t="shared" si="100"/>
        <v>1.88</v>
      </c>
      <c r="AK148" s="106">
        <f t="shared" si="101"/>
        <v>3.75165020343861</v>
      </c>
      <c r="AL148" s="106">
        <f t="shared" si="102"/>
        <v>0.611</v>
      </c>
      <c r="AM148" s="106">
        <f t="shared" si="89"/>
        <v>0</v>
      </c>
      <c r="AN148" s="107">
        <f t="shared" si="103"/>
        <v>0.611</v>
      </c>
      <c r="AO148" s="105">
        <f t="shared" si="90"/>
        <v>0.221528479142694</v>
      </c>
      <c r="AP148" s="106">
        <f t="shared" si="91"/>
        <v>0.0756</v>
      </c>
      <c r="AQ148" s="107">
        <f t="shared" si="104"/>
        <v>0.0132</v>
      </c>
      <c r="AR148" s="105">
        <f t="shared" si="105"/>
        <v>1.66676780569154</v>
      </c>
      <c r="AS148" s="106">
        <f t="shared" si="106"/>
        <v>18.8</v>
      </c>
      <c r="AT148" s="107">
        <f t="shared" si="107"/>
        <v>91.8562236034747</v>
      </c>
    </row>
    <row r="149" spans="17:46">
      <c r="Q149">
        <v>142</v>
      </c>
      <c r="R149" s="105">
        <f t="shared" si="80"/>
        <v>10</v>
      </c>
      <c r="S149" s="106">
        <f t="shared" si="81"/>
        <v>1.89333333333333</v>
      </c>
      <c r="T149" s="106">
        <f t="shared" si="82"/>
        <v>4</v>
      </c>
      <c r="U149" s="107">
        <f t="shared" si="83"/>
        <v>4.73333333333333</v>
      </c>
      <c r="V149" s="105">
        <f t="shared" si="84"/>
        <v>2</v>
      </c>
      <c r="W149" s="106">
        <f t="shared" si="85"/>
        <v>0.714285714285714</v>
      </c>
      <c r="X149" s="107">
        <f t="shared" si="86"/>
        <v>0.285714285714286</v>
      </c>
      <c r="Y149" s="105">
        <f t="shared" si="92"/>
        <v>0.868432479374729</v>
      </c>
      <c r="Z149" s="106">
        <f t="shared" si="93"/>
        <v>7.4950991460414</v>
      </c>
      <c r="AA149" s="106">
        <f t="shared" si="94"/>
        <v>4.73996754827645</v>
      </c>
      <c r="AB149" s="106">
        <v>0</v>
      </c>
      <c r="AC149" s="106">
        <f t="shared" si="95"/>
        <v>0.224672923587139</v>
      </c>
      <c r="AD149" s="107">
        <f t="shared" si="96"/>
        <v>0.224672923587139</v>
      </c>
      <c r="AE149" s="105">
        <f t="shared" si="97"/>
        <v>6.40126984126984</v>
      </c>
      <c r="AF149" s="106">
        <f t="shared" si="98"/>
        <v>4.73996754827645</v>
      </c>
      <c r="AG149" s="106">
        <f t="shared" si="87"/>
        <v>0.190971985049068</v>
      </c>
      <c r="AH149" s="106">
        <f t="shared" si="88"/>
        <v>0.56109146764123</v>
      </c>
      <c r="AI149" s="107">
        <f t="shared" si="99"/>
        <v>0.752063452690298</v>
      </c>
      <c r="AJ149" s="105">
        <f t="shared" si="100"/>
        <v>1.89333333333333</v>
      </c>
      <c r="AK149" s="106">
        <f t="shared" si="101"/>
        <v>3.7765787741784</v>
      </c>
      <c r="AL149" s="106">
        <f t="shared" si="102"/>
        <v>0.615333333333333</v>
      </c>
      <c r="AM149" s="106">
        <f t="shared" si="89"/>
        <v>0</v>
      </c>
      <c r="AN149" s="107">
        <f t="shared" si="103"/>
        <v>0.615333333333333</v>
      </c>
      <c r="AO149" s="105">
        <f t="shared" si="90"/>
        <v>0.224672923587139</v>
      </c>
      <c r="AP149" s="106">
        <f t="shared" si="91"/>
        <v>0.0756</v>
      </c>
      <c r="AQ149" s="107">
        <f t="shared" si="104"/>
        <v>0.0132</v>
      </c>
      <c r="AR149" s="105">
        <f t="shared" si="105"/>
        <v>1.68086970961077</v>
      </c>
      <c r="AS149" s="106">
        <f t="shared" si="106"/>
        <v>18.9333333333333</v>
      </c>
      <c r="AT149" s="107">
        <f t="shared" si="107"/>
        <v>91.8460601842859</v>
      </c>
    </row>
    <row r="150" spans="17:46">
      <c r="Q150">
        <v>143</v>
      </c>
      <c r="R150" s="105">
        <f t="shared" si="80"/>
        <v>10</v>
      </c>
      <c r="S150" s="106">
        <f t="shared" si="81"/>
        <v>1.90666666666667</v>
      </c>
      <c r="T150" s="106">
        <f t="shared" si="82"/>
        <v>4</v>
      </c>
      <c r="U150" s="107">
        <f t="shared" si="83"/>
        <v>4.76666666666667</v>
      </c>
      <c r="V150" s="105">
        <f t="shared" si="84"/>
        <v>2</v>
      </c>
      <c r="W150" s="106">
        <f t="shared" si="85"/>
        <v>0.714285714285714</v>
      </c>
      <c r="X150" s="107">
        <f t="shared" si="86"/>
        <v>0.285714285714286</v>
      </c>
      <c r="Y150" s="105">
        <f t="shared" si="92"/>
        <v>0.868432479374729</v>
      </c>
      <c r="Z150" s="106">
        <f t="shared" si="93"/>
        <v>7.54176581270806</v>
      </c>
      <c r="AA150" s="106">
        <f t="shared" si="94"/>
        <v>4.77325455275334</v>
      </c>
      <c r="AB150" s="106">
        <v>0</v>
      </c>
      <c r="AC150" s="106">
        <f t="shared" si="95"/>
        <v>0.227839590253805</v>
      </c>
      <c r="AD150" s="107">
        <f t="shared" si="96"/>
        <v>0.227839590253805</v>
      </c>
      <c r="AE150" s="105">
        <f t="shared" si="97"/>
        <v>6.49174603174603</v>
      </c>
      <c r="AF150" s="106">
        <f t="shared" si="98"/>
        <v>4.77325455275334</v>
      </c>
      <c r="AG150" s="106">
        <f t="shared" si="87"/>
        <v>0.193663651715734</v>
      </c>
      <c r="AH150" s="106">
        <f t="shared" si="88"/>
        <v>0.5650428160049</v>
      </c>
      <c r="AI150" s="107">
        <f t="shared" si="99"/>
        <v>0.758706467720635</v>
      </c>
      <c r="AJ150" s="105">
        <f t="shared" si="100"/>
        <v>1.90666666666667</v>
      </c>
      <c r="AK150" s="106">
        <f t="shared" si="101"/>
        <v>3.80150755235777</v>
      </c>
      <c r="AL150" s="106">
        <f t="shared" si="102"/>
        <v>0.619666666666667</v>
      </c>
      <c r="AM150" s="106">
        <f t="shared" si="89"/>
        <v>0</v>
      </c>
      <c r="AN150" s="107">
        <f t="shared" si="103"/>
        <v>0.619666666666667</v>
      </c>
      <c r="AO150" s="105">
        <f t="shared" si="90"/>
        <v>0.227839590253805</v>
      </c>
      <c r="AP150" s="106">
        <f t="shared" si="91"/>
        <v>0.0756</v>
      </c>
      <c r="AQ150" s="107">
        <f t="shared" si="104"/>
        <v>0.0132</v>
      </c>
      <c r="AR150" s="105">
        <f t="shared" si="105"/>
        <v>1.69501272464111</v>
      </c>
      <c r="AS150" s="106">
        <f t="shared" si="106"/>
        <v>19.0666666666667</v>
      </c>
      <c r="AT150" s="107">
        <f t="shared" si="107"/>
        <v>91.8358592641077</v>
      </c>
    </row>
    <row r="151" spans="17:46">
      <c r="Q151">
        <v>144</v>
      </c>
      <c r="R151" s="105">
        <f t="shared" si="80"/>
        <v>10</v>
      </c>
      <c r="S151" s="106">
        <f t="shared" si="81"/>
        <v>1.92</v>
      </c>
      <c r="T151" s="106">
        <f t="shared" si="82"/>
        <v>4</v>
      </c>
      <c r="U151" s="107">
        <f t="shared" si="83"/>
        <v>4.8</v>
      </c>
      <c r="V151" s="105">
        <f t="shared" si="84"/>
        <v>2</v>
      </c>
      <c r="W151" s="106">
        <f t="shared" si="85"/>
        <v>0.714285714285714</v>
      </c>
      <c r="X151" s="107">
        <f t="shared" si="86"/>
        <v>0.285714285714286</v>
      </c>
      <c r="Y151" s="105">
        <f t="shared" si="92"/>
        <v>0.868432479374729</v>
      </c>
      <c r="Z151" s="106">
        <f t="shared" si="93"/>
        <v>7.58843247937473</v>
      </c>
      <c r="AA151" s="106">
        <f t="shared" si="94"/>
        <v>4.80654219936426</v>
      </c>
      <c r="AB151" s="106">
        <v>0</v>
      </c>
      <c r="AC151" s="106">
        <f t="shared" si="95"/>
        <v>0.231028479142694</v>
      </c>
      <c r="AD151" s="107">
        <f t="shared" si="96"/>
        <v>0.231028479142694</v>
      </c>
      <c r="AE151" s="105">
        <f t="shared" si="97"/>
        <v>6.58285714285715</v>
      </c>
      <c r="AF151" s="106">
        <f t="shared" si="98"/>
        <v>4.80654219936426</v>
      </c>
      <c r="AG151" s="106">
        <f t="shared" si="87"/>
        <v>0.19637420727129</v>
      </c>
      <c r="AH151" s="106">
        <f t="shared" si="88"/>
        <v>0.568994164368571</v>
      </c>
      <c r="AI151" s="107">
        <f t="shared" si="99"/>
        <v>0.765368371639861</v>
      </c>
      <c r="AJ151" s="105">
        <f t="shared" si="100"/>
        <v>1.92</v>
      </c>
      <c r="AK151" s="106">
        <f t="shared" si="101"/>
        <v>3.82643653392238</v>
      </c>
      <c r="AL151" s="106">
        <f t="shared" si="102"/>
        <v>0.624</v>
      </c>
      <c r="AM151" s="106">
        <f t="shared" si="89"/>
        <v>0</v>
      </c>
      <c r="AN151" s="107">
        <f t="shared" si="103"/>
        <v>0.624</v>
      </c>
      <c r="AO151" s="105">
        <f t="shared" si="90"/>
        <v>0.231028479142694</v>
      </c>
      <c r="AP151" s="106">
        <f t="shared" si="91"/>
        <v>0.0756</v>
      </c>
      <c r="AQ151" s="107">
        <f t="shared" si="104"/>
        <v>0.0132</v>
      </c>
      <c r="AR151" s="105">
        <f t="shared" si="105"/>
        <v>1.70919685078256</v>
      </c>
      <c r="AS151" s="106">
        <f t="shared" si="106"/>
        <v>19.2</v>
      </c>
      <c r="AT151" s="107">
        <f t="shared" si="107"/>
        <v>91.8256216966144</v>
      </c>
    </row>
    <row r="152" spans="17:46">
      <c r="Q152">
        <v>145</v>
      </c>
      <c r="R152" s="105">
        <f t="shared" si="80"/>
        <v>10</v>
      </c>
      <c r="S152" s="106">
        <f t="shared" si="81"/>
        <v>1.93333333333333</v>
      </c>
      <c r="T152" s="106">
        <f t="shared" si="82"/>
        <v>4</v>
      </c>
      <c r="U152" s="107">
        <f t="shared" si="83"/>
        <v>4.83333333333333</v>
      </c>
      <c r="V152" s="105">
        <f t="shared" si="84"/>
        <v>2</v>
      </c>
      <c r="W152" s="106">
        <f t="shared" si="85"/>
        <v>0.714285714285714</v>
      </c>
      <c r="X152" s="107">
        <f t="shared" si="86"/>
        <v>0.285714285714286</v>
      </c>
      <c r="Y152" s="105">
        <f t="shared" si="92"/>
        <v>0.868432479374729</v>
      </c>
      <c r="Z152" s="106">
        <f t="shared" si="93"/>
        <v>7.6350991460414</v>
      </c>
      <c r="AA152" s="106">
        <f t="shared" si="94"/>
        <v>4.83983047485968</v>
      </c>
      <c r="AB152" s="106">
        <v>0</v>
      </c>
      <c r="AC152" s="106">
        <f t="shared" si="95"/>
        <v>0.234239590253805</v>
      </c>
      <c r="AD152" s="107">
        <f t="shared" si="96"/>
        <v>0.234239590253805</v>
      </c>
      <c r="AE152" s="105">
        <f t="shared" si="97"/>
        <v>6.67460317460317</v>
      </c>
      <c r="AF152" s="106">
        <f t="shared" si="98"/>
        <v>4.83983047485968</v>
      </c>
      <c r="AG152" s="106">
        <f t="shared" si="87"/>
        <v>0.199103651715734</v>
      </c>
      <c r="AH152" s="106">
        <f t="shared" si="88"/>
        <v>0.572945512732242</v>
      </c>
      <c r="AI152" s="107">
        <f t="shared" si="99"/>
        <v>0.772049164447976</v>
      </c>
      <c r="AJ152" s="105">
        <f t="shared" si="100"/>
        <v>1.93333333333333</v>
      </c>
      <c r="AK152" s="106">
        <f t="shared" si="101"/>
        <v>3.85136571492285</v>
      </c>
      <c r="AL152" s="106">
        <f t="shared" si="102"/>
        <v>0.628333333333333</v>
      </c>
      <c r="AM152" s="106">
        <f t="shared" si="89"/>
        <v>0</v>
      </c>
      <c r="AN152" s="107">
        <f t="shared" si="103"/>
        <v>0.628333333333333</v>
      </c>
      <c r="AO152" s="105">
        <f t="shared" si="90"/>
        <v>0.234239590253805</v>
      </c>
      <c r="AP152" s="106">
        <f t="shared" si="91"/>
        <v>0.0756</v>
      </c>
      <c r="AQ152" s="107">
        <f t="shared" si="104"/>
        <v>0.0132</v>
      </c>
      <c r="AR152" s="105">
        <f t="shared" si="105"/>
        <v>1.72342208803511</v>
      </c>
      <c r="AS152" s="106">
        <f t="shared" si="106"/>
        <v>19.3333333333333</v>
      </c>
      <c r="AT152" s="107">
        <f t="shared" si="107"/>
        <v>91.8153483119903</v>
      </c>
    </row>
    <row r="153" spans="17:46">
      <c r="Q153">
        <v>146</v>
      </c>
      <c r="R153" s="105">
        <f t="shared" si="80"/>
        <v>10</v>
      </c>
      <c r="S153" s="106">
        <f t="shared" si="81"/>
        <v>1.94666666666667</v>
      </c>
      <c r="T153" s="106">
        <f t="shared" si="82"/>
        <v>4</v>
      </c>
      <c r="U153" s="107">
        <f t="shared" si="83"/>
        <v>4.86666666666667</v>
      </c>
      <c r="V153" s="105">
        <f t="shared" si="84"/>
        <v>2</v>
      </c>
      <c r="W153" s="106">
        <f t="shared" si="85"/>
        <v>0.714285714285714</v>
      </c>
      <c r="X153" s="107">
        <f t="shared" si="86"/>
        <v>0.285714285714286</v>
      </c>
      <c r="Y153" s="105">
        <f t="shared" si="92"/>
        <v>0.868432479374729</v>
      </c>
      <c r="Z153" s="106">
        <f t="shared" si="93"/>
        <v>7.68176581270806</v>
      </c>
      <c r="AA153" s="106">
        <f t="shared" si="94"/>
        <v>4.87311936635189</v>
      </c>
      <c r="AB153" s="106">
        <v>0</v>
      </c>
      <c r="AC153" s="106">
        <f t="shared" si="95"/>
        <v>0.237472923587139</v>
      </c>
      <c r="AD153" s="107">
        <f t="shared" si="96"/>
        <v>0.237472923587139</v>
      </c>
      <c r="AE153" s="105">
        <f t="shared" si="97"/>
        <v>6.76698412698413</v>
      </c>
      <c r="AF153" s="106">
        <f t="shared" si="98"/>
        <v>4.87311936635189</v>
      </c>
      <c r="AG153" s="106">
        <f t="shared" si="87"/>
        <v>0.201851985049068</v>
      </c>
      <c r="AH153" s="106">
        <f t="shared" si="88"/>
        <v>0.576896861095912</v>
      </c>
      <c r="AI153" s="107">
        <f t="shared" si="99"/>
        <v>0.77874884614498</v>
      </c>
      <c r="AJ153" s="105">
        <f t="shared" si="100"/>
        <v>1.94666666666667</v>
      </c>
      <c r="AK153" s="106">
        <f t="shared" si="101"/>
        <v>3.87629509151133</v>
      </c>
      <c r="AL153" s="106">
        <f t="shared" si="102"/>
        <v>0.632666666666667</v>
      </c>
      <c r="AM153" s="106">
        <f t="shared" si="89"/>
        <v>0</v>
      </c>
      <c r="AN153" s="107">
        <f t="shared" si="103"/>
        <v>0.632666666666667</v>
      </c>
      <c r="AO153" s="105">
        <f t="shared" si="90"/>
        <v>0.237472923587139</v>
      </c>
      <c r="AP153" s="106">
        <f t="shared" si="91"/>
        <v>0.0756</v>
      </c>
      <c r="AQ153" s="107">
        <f t="shared" si="104"/>
        <v>0.0132</v>
      </c>
      <c r="AR153" s="105">
        <f t="shared" si="105"/>
        <v>1.73768843639879</v>
      </c>
      <c r="AS153" s="106">
        <f t="shared" si="106"/>
        <v>19.4666666666667</v>
      </c>
      <c r="AT153" s="107">
        <f t="shared" si="107"/>
        <v>91.805039917731</v>
      </c>
    </row>
    <row r="154" spans="17:46">
      <c r="Q154">
        <v>147</v>
      </c>
      <c r="R154" s="105">
        <f t="shared" si="80"/>
        <v>10</v>
      </c>
      <c r="S154" s="106">
        <f t="shared" si="81"/>
        <v>1.96</v>
      </c>
      <c r="T154" s="106">
        <f t="shared" si="82"/>
        <v>4</v>
      </c>
      <c r="U154" s="107">
        <f t="shared" si="83"/>
        <v>4.9</v>
      </c>
      <c r="V154" s="105">
        <f t="shared" si="84"/>
        <v>2</v>
      </c>
      <c r="W154" s="106">
        <f t="shared" si="85"/>
        <v>0.714285714285714</v>
      </c>
      <c r="X154" s="107">
        <f t="shared" si="86"/>
        <v>0.285714285714286</v>
      </c>
      <c r="Y154" s="105">
        <f t="shared" si="92"/>
        <v>0.868432479374729</v>
      </c>
      <c r="Z154" s="106">
        <f t="shared" si="93"/>
        <v>7.72843247937473</v>
      </c>
      <c r="AA154" s="106">
        <f t="shared" si="94"/>
        <v>4.90640886130268</v>
      </c>
      <c r="AB154" s="106">
        <v>0</v>
      </c>
      <c r="AC154" s="106">
        <f t="shared" si="95"/>
        <v>0.240728479142694</v>
      </c>
      <c r="AD154" s="107">
        <f t="shared" si="96"/>
        <v>0.240728479142694</v>
      </c>
      <c r="AE154" s="105">
        <f t="shared" si="97"/>
        <v>6.86</v>
      </c>
      <c r="AF154" s="106">
        <f t="shared" si="98"/>
        <v>4.90640886130268</v>
      </c>
      <c r="AG154" s="106">
        <f t="shared" si="87"/>
        <v>0.20461920727129</v>
      </c>
      <c r="AH154" s="106">
        <f t="shared" si="88"/>
        <v>0.580848209459583</v>
      </c>
      <c r="AI154" s="107">
        <f t="shared" si="99"/>
        <v>0.785467416730873</v>
      </c>
      <c r="AJ154" s="105">
        <f t="shared" si="100"/>
        <v>1.96</v>
      </c>
      <c r="AK154" s="106">
        <f t="shared" si="101"/>
        <v>3.90122465993833</v>
      </c>
      <c r="AL154" s="106">
        <f t="shared" si="102"/>
        <v>0.637</v>
      </c>
      <c r="AM154" s="106">
        <f t="shared" si="89"/>
        <v>0</v>
      </c>
      <c r="AN154" s="107">
        <f t="shared" si="103"/>
        <v>0.637</v>
      </c>
      <c r="AO154" s="105">
        <f t="shared" si="90"/>
        <v>0.240728479142694</v>
      </c>
      <c r="AP154" s="106">
        <f t="shared" si="91"/>
        <v>0.0756</v>
      </c>
      <c r="AQ154" s="107">
        <f t="shared" si="104"/>
        <v>0.0132</v>
      </c>
      <c r="AR154" s="105">
        <f t="shared" si="105"/>
        <v>1.75199589587357</v>
      </c>
      <c r="AS154" s="106">
        <f t="shared" si="106"/>
        <v>19.6</v>
      </c>
      <c r="AT154" s="107">
        <f t="shared" si="107"/>
        <v>91.7946972994119</v>
      </c>
    </row>
    <row r="155" spans="17:46">
      <c r="Q155">
        <v>148</v>
      </c>
      <c r="R155" s="105">
        <f t="shared" si="80"/>
        <v>10</v>
      </c>
      <c r="S155" s="106">
        <f t="shared" si="81"/>
        <v>1.97333333333333</v>
      </c>
      <c r="T155" s="106">
        <f t="shared" si="82"/>
        <v>4</v>
      </c>
      <c r="U155" s="107">
        <f t="shared" si="83"/>
        <v>4.93333333333333</v>
      </c>
      <c r="V155" s="105">
        <f t="shared" si="84"/>
        <v>2</v>
      </c>
      <c r="W155" s="106">
        <f t="shared" si="85"/>
        <v>0.714285714285714</v>
      </c>
      <c r="X155" s="107">
        <f t="shared" si="86"/>
        <v>0.285714285714286</v>
      </c>
      <c r="Y155" s="105">
        <f t="shared" si="92"/>
        <v>0.868432479374729</v>
      </c>
      <c r="Z155" s="106">
        <f t="shared" si="93"/>
        <v>7.7750991460414</v>
      </c>
      <c r="AA155" s="106">
        <f t="shared" si="94"/>
        <v>4.9396989475116</v>
      </c>
      <c r="AB155" s="106">
        <v>0</v>
      </c>
      <c r="AC155" s="106">
        <f t="shared" si="95"/>
        <v>0.244006256920472</v>
      </c>
      <c r="AD155" s="107">
        <f t="shared" si="96"/>
        <v>0.244006256920472</v>
      </c>
      <c r="AE155" s="105">
        <f t="shared" si="97"/>
        <v>6.95365079365079</v>
      </c>
      <c r="AF155" s="106">
        <f t="shared" si="98"/>
        <v>4.9396989475116</v>
      </c>
      <c r="AG155" s="106">
        <f t="shared" si="87"/>
        <v>0.207405318382401</v>
      </c>
      <c r="AH155" s="106">
        <f t="shared" si="88"/>
        <v>0.584799557823254</v>
      </c>
      <c r="AI155" s="107">
        <f t="shared" si="99"/>
        <v>0.792204876205655</v>
      </c>
      <c r="AJ155" s="105">
        <f t="shared" si="100"/>
        <v>1.97333333333333</v>
      </c>
      <c r="AK155" s="106">
        <f t="shared" si="101"/>
        <v>3.92615441654954</v>
      </c>
      <c r="AL155" s="106">
        <f t="shared" si="102"/>
        <v>0.641333333333333</v>
      </c>
      <c r="AM155" s="106">
        <f t="shared" si="89"/>
        <v>0</v>
      </c>
      <c r="AN155" s="107">
        <f t="shared" si="103"/>
        <v>0.641333333333333</v>
      </c>
      <c r="AO155" s="105">
        <f t="shared" si="90"/>
        <v>0.244006256920472</v>
      </c>
      <c r="AP155" s="106">
        <f t="shared" si="91"/>
        <v>0.0756</v>
      </c>
      <c r="AQ155" s="107">
        <f t="shared" si="104"/>
        <v>0.0132</v>
      </c>
      <c r="AR155" s="105">
        <f t="shared" si="105"/>
        <v>1.76634446645946</v>
      </c>
      <c r="AS155" s="106">
        <f t="shared" si="106"/>
        <v>19.7333333333333</v>
      </c>
      <c r="AT155" s="107">
        <f t="shared" si="107"/>
        <v>91.7843212214255</v>
      </c>
    </row>
    <row r="156" spans="17:46">
      <c r="Q156">
        <v>149</v>
      </c>
      <c r="R156" s="105">
        <f t="shared" si="80"/>
        <v>10</v>
      </c>
      <c r="S156" s="106">
        <f t="shared" si="81"/>
        <v>1.98666666666667</v>
      </c>
      <c r="T156" s="106">
        <f t="shared" si="82"/>
        <v>4</v>
      </c>
      <c r="U156" s="107">
        <f t="shared" si="83"/>
        <v>4.96666666666667</v>
      </c>
      <c r="V156" s="105">
        <f t="shared" si="84"/>
        <v>2</v>
      </c>
      <c r="W156" s="106">
        <f t="shared" si="85"/>
        <v>0.714285714285714</v>
      </c>
      <c r="X156" s="107">
        <f t="shared" si="86"/>
        <v>0.285714285714286</v>
      </c>
      <c r="Y156" s="105">
        <f t="shared" si="92"/>
        <v>0.868432479374729</v>
      </c>
      <c r="Z156" s="106">
        <f t="shared" si="93"/>
        <v>7.82176581270806</v>
      </c>
      <c r="AA156" s="106">
        <f t="shared" si="94"/>
        <v>4.9729896131047</v>
      </c>
      <c r="AB156" s="106">
        <v>0</v>
      </c>
      <c r="AC156" s="106">
        <f t="shared" si="95"/>
        <v>0.247306256920472</v>
      </c>
      <c r="AD156" s="107">
        <f t="shared" si="96"/>
        <v>0.247306256920472</v>
      </c>
      <c r="AE156" s="105">
        <f t="shared" si="97"/>
        <v>7.04793650793651</v>
      </c>
      <c r="AF156" s="106">
        <f t="shared" si="98"/>
        <v>4.9729896131047</v>
      </c>
      <c r="AG156" s="106">
        <f t="shared" si="87"/>
        <v>0.210210318382401</v>
      </c>
      <c r="AH156" s="106">
        <f t="shared" si="88"/>
        <v>0.588750906186924</v>
      </c>
      <c r="AI156" s="107">
        <f t="shared" si="99"/>
        <v>0.798961224569325</v>
      </c>
      <c r="AJ156" s="105">
        <f t="shared" si="100"/>
        <v>1.98666666666667</v>
      </c>
      <c r="AK156" s="106">
        <f t="shared" si="101"/>
        <v>3.95108435778287</v>
      </c>
      <c r="AL156" s="106">
        <f t="shared" si="102"/>
        <v>0.645666666666667</v>
      </c>
      <c r="AM156" s="106">
        <f t="shared" si="89"/>
        <v>0</v>
      </c>
      <c r="AN156" s="107">
        <f t="shared" si="103"/>
        <v>0.645666666666667</v>
      </c>
      <c r="AO156" s="105">
        <f t="shared" si="90"/>
        <v>0.247306256920472</v>
      </c>
      <c r="AP156" s="106">
        <f t="shared" si="91"/>
        <v>0.0756</v>
      </c>
      <c r="AQ156" s="107">
        <f t="shared" si="104"/>
        <v>0.0132</v>
      </c>
      <c r="AR156" s="105">
        <f t="shared" si="105"/>
        <v>1.78073414815646</v>
      </c>
      <c r="AS156" s="106">
        <f t="shared" si="106"/>
        <v>19.8666666666667</v>
      </c>
      <c r="AT156" s="107">
        <f t="shared" si="107"/>
        <v>91.7739124276892</v>
      </c>
    </row>
    <row r="157" ht="15.75" spans="17:46">
      <c r="Q157">
        <v>150</v>
      </c>
      <c r="R157" s="113">
        <f t="shared" si="80"/>
        <v>10</v>
      </c>
      <c r="S157" s="114">
        <f t="shared" si="81"/>
        <v>2</v>
      </c>
      <c r="T157" s="114">
        <f t="shared" si="82"/>
        <v>4</v>
      </c>
      <c r="U157" s="115">
        <f t="shared" si="83"/>
        <v>5</v>
      </c>
      <c r="V157" s="105">
        <f t="shared" si="84"/>
        <v>2</v>
      </c>
      <c r="W157" s="106">
        <f t="shared" si="85"/>
        <v>0.714285714285714</v>
      </c>
      <c r="X157" s="107">
        <f t="shared" si="86"/>
        <v>0.285714285714286</v>
      </c>
      <c r="Y157" s="105">
        <f t="shared" si="92"/>
        <v>0.868432479374729</v>
      </c>
      <c r="Z157" s="106">
        <f t="shared" si="93"/>
        <v>7.86843247937473</v>
      </c>
      <c r="AA157" s="106">
        <f t="shared" si="94"/>
        <v>5.00628084652364</v>
      </c>
      <c r="AB157" s="106">
        <v>0</v>
      </c>
      <c r="AC157" s="106">
        <f t="shared" si="95"/>
        <v>0.250628479142694</v>
      </c>
      <c r="AD157" s="107">
        <f t="shared" si="96"/>
        <v>0.250628479142694</v>
      </c>
      <c r="AE157" s="105">
        <f t="shared" si="97"/>
        <v>7.14285714285714</v>
      </c>
      <c r="AF157" s="106">
        <f t="shared" si="98"/>
        <v>5.00628084652364</v>
      </c>
      <c r="AG157" s="106">
        <f t="shared" si="87"/>
        <v>0.21303420727129</v>
      </c>
      <c r="AH157" s="106">
        <f t="shared" si="88"/>
        <v>0.592702254550595</v>
      </c>
      <c r="AI157" s="107">
        <f t="shared" si="99"/>
        <v>0.805736461821885</v>
      </c>
      <c r="AJ157" s="105">
        <f t="shared" si="100"/>
        <v>2</v>
      </c>
      <c r="AK157" s="106">
        <f t="shared" si="101"/>
        <v>3.97601448016552</v>
      </c>
      <c r="AL157" s="106">
        <f t="shared" si="102"/>
        <v>0.65</v>
      </c>
      <c r="AM157" s="106">
        <f t="shared" si="89"/>
        <v>0</v>
      </c>
      <c r="AN157" s="107">
        <f t="shared" si="103"/>
        <v>0.65</v>
      </c>
      <c r="AO157" s="105">
        <f t="shared" si="90"/>
        <v>0.250628479142694</v>
      </c>
      <c r="AP157" s="106">
        <f t="shared" si="91"/>
        <v>0.0756</v>
      </c>
      <c r="AQ157" s="107">
        <f t="shared" si="104"/>
        <v>0.0132</v>
      </c>
      <c r="AR157" s="105">
        <f t="shared" si="105"/>
        <v>1.79516494096458</v>
      </c>
      <c r="AS157" s="106">
        <f t="shared" si="106"/>
        <v>20</v>
      </c>
      <c r="AT157" s="107">
        <f t="shared" si="107"/>
        <v>91.763471642325</v>
      </c>
    </row>
  </sheetData>
  <mergeCells count="8">
    <mergeCell ref="A1:M1"/>
    <mergeCell ref="Y2:AD2"/>
    <mergeCell ref="R5:U5"/>
    <mergeCell ref="V5:X5"/>
    <mergeCell ref="Y5:AD5"/>
    <mergeCell ref="AE5:AI5"/>
    <mergeCell ref="AJ5:AN5"/>
    <mergeCell ref="AO5:AQ5"/>
  </mergeCells>
  <pageMargins left="0.7" right="0.7" top="0.75" bottom="0.75" header="0.3" footer="0.3"/>
  <pageSetup paperSize="1" orientation="portrait"/>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BP708"/>
  <sheetViews>
    <sheetView zoomScale="85" zoomScaleNormal="85" topLeftCell="A40" workbookViewId="0">
      <selection activeCell="E73" sqref="E73"/>
    </sheetView>
  </sheetViews>
  <sheetFormatPr defaultColWidth="9" defaultRowHeight="15"/>
  <cols>
    <col min="1" max="1" width="18.7142857142857" customWidth="1"/>
    <col min="2" max="2" width="25" customWidth="1"/>
    <col min="8" max="10" width="8.85714285714286"/>
    <col min="15" max="15" width="16.5714285714286" style="18" customWidth="1"/>
    <col min="16" max="16" width="16.5714285714286" customWidth="1"/>
    <col min="29" max="29" width="8.85714285714286"/>
    <col min="32" max="37" width="8.71428571428571"/>
    <col min="38" max="38" width="11.4285714285714" customWidth="1"/>
    <col min="39" max="40" width="8.71428571428571"/>
    <col min="41" max="41" width="13.1428571428571" customWidth="1"/>
    <col min="42" max="44" width="8.71428571428571"/>
    <col min="46" max="46" width="10.1428571428571" customWidth="1"/>
    <col min="47" max="47" width="12" customWidth="1"/>
    <col min="55" max="55" width="8.85714285714286"/>
    <col min="58" max="58" width="8.85714285714286"/>
  </cols>
  <sheetData>
    <row r="1" customFormat="1" ht="27.75" spans="1:68">
      <c r="A1" s="1" t="s">
        <v>90</v>
      </c>
      <c r="B1" s="1"/>
      <c r="C1" s="1"/>
      <c r="D1" s="1"/>
      <c r="E1" s="1"/>
      <c r="F1" s="1"/>
      <c r="G1" s="1"/>
      <c r="H1" s="1"/>
      <c r="I1" s="1"/>
      <c r="J1" s="1"/>
      <c r="K1" s="1"/>
      <c r="L1" s="1"/>
      <c r="M1" s="1"/>
      <c r="N1" s="1" t="s">
        <v>434</v>
      </c>
      <c r="O1" s="1"/>
      <c r="P1" s="1"/>
      <c r="Q1" s="1"/>
      <c r="R1" s="1"/>
      <c r="S1" s="1"/>
      <c r="T1" s="1"/>
      <c r="U1" s="1"/>
      <c r="V1" s="1"/>
      <c r="W1" s="1"/>
      <c r="X1" s="1"/>
    </row>
    <row r="2" customFormat="1" spans="1:68">
      <c r="A2" s="2"/>
      <c r="B2" s="2" t="s">
        <v>91</v>
      </c>
      <c r="C2" s="3"/>
      <c r="D2" s="4"/>
      <c r="E2" s="2"/>
      <c r="F2" s="2"/>
      <c r="G2" s="2"/>
      <c r="H2" s="2"/>
      <c r="I2" s="2"/>
      <c r="J2" s="2"/>
      <c r="K2" s="2"/>
      <c r="L2" s="2"/>
      <c r="M2" s="2"/>
      <c r="AF2" s="19" t="s">
        <v>435</v>
      </c>
      <c r="AG2" s="19"/>
      <c r="AH2" s="19"/>
      <c r="AI2" s="19"/>
      <c r="AJ2" s="19"/>
      <c r="AK2" s="19"/>
      <c r="AL2" s="19"/>
      <c r="AM2" s="19"/>
      <c r="AN2" s="19"/>
      <c r="AO2" s="19"/>
      <c r="AP2" s="19"/>
      <c r="AQ2" s="19"/>
      <c r="AR2" s="19"/>
    </row>
    <row r="3" customFormat="1" ht="15.75" spans="1:68">
      <c r="A3" s="2"/>
      <c r="B3" s="2" t="s">
        <v>92</v>
      </c>
      <c r="C3" s="5"/>
      <c r="D3" s="4"/>
      <c r="E3" s="2"/>
      <c r="F3" s="20"/>
      <c r="G3" s="21"/>
      <c r="H3" s="21"/>
      <c r="I3" s="21"/>
      <c r="J3" s="21"/>
      <c r="K3" s="22"/>
      <c r="L3" s="2"/>
      <c r="M3" s="2"/>
      <c r="O3" t="s">
        <v>436</v>
      </c>
    </row>
    <row r="4" customFormat="1" ht="15.75" spans="1:68">
      <c r="A4" s="2"/>
      <c r="B4" s="2" t="s">
        <v>96</v>
      </c>
      <c r="C4" s="6"/>
      <c r="D4" s="4"/>
      <c r="E4" s="2"/>
      <c r="F4" s="20"/>
      <c r="G4" s="21"/>
      <c r="H4" s="21"/>
      <c r="I4" s="21"/>
      <c r="J4" s="21"/>
      <c r="K4" s="22"/>
      <c r="L4" s="2"/>
      <c r="M4" s="2"/>
      <c r="N4" s="23"/>
      <c r="O4" s="24"/>
      <c r="P4" s="25" t="s">
        <v>437</v>
      </c>
      <c r="Q4" s="25"/>
      <c r="R4" s="25"/>
      <c r="S4" s="25"/>
      <c r="T4" s="25"/>
      <c r="U4" s="25"/>
      <c r="V4" s="25"/>
      <c r="W4" s="25"/>
      <c r="X4" s="25"/>
      <c r="Y4" s="25"/>
      <c r="Z4" s="25"/>
      <c r="AA4" s="25"/>
      <c r="AB4" s="25"/>
      <c r="AC4" s="25"/>
      <c r="AD4" s="25"/>
      <c r="AE4" s="26"/>
      <c r="AF4" s="25"/>
      <c r="AG4" s="25"/>
      <c r="AH4" s="25"/>
      <c r="AI4" s="25"/>
      <c r="AJ4" s="25"/>
      <c r="AK4" s="25"/>
      <c r="AL4" s="25"/>
      <c r="AM4" s="25"/>
      <c r="AN4" s="25"/>
      <c r="AO4" s="25"/>
      <c r="AP4" s="25"/>
      <c r="AQ4" s="25"/>
      <c r="AR4" s="25"/>
      <c r="AS4" s="27" t="s">
        <v>438</v>
      </c>
      <c r="AT4" s="25"/>
      <c r="AU4" s="25"/>
      <c r="AV4" s="25"/>
      <c r="AW4" s="25"/>
      <c r="AX4" s="25"/>
      <c r="AY4" s="25"/>
      <c r="AZ4" s="25"/>
      <c r="BA4" s="25"/>
      <c r="BB4" s="25"/>
      <c r="BC4" s="25"/>
      <c r="BD4" s="25"/>
      <c r="BE4" s="26"/>
      <c r="BF4" s="27" t="s">
        <v>439</v>
      </c>
      <c r="BG4" s="25"/>
      <c r="BH4" s="26"/>
      <c r="BI4" s="27" t="s">
        <v>440</v>
      </c>
      <c r="BJ4" s="25"/>
      <c r="BK4" s="26"/>
      <c r="BL4" s="28" t="s">
        <v>441</v>
      </c>
      <c r="BM4" s="29"/>
    </row>
    <row r="5" customFormat="1" spans="1:68">
      <c r="A5" s="2"/>
      <c r="D5" s="4"/>
      <c r="E5" s="2"/>
      <c r="F5" s="2"/>
      <c r="G5" s="2"/>
      <c r="H5" s="2"/>
      <c r="I5" s="2"/>
      <c r="J5" s="2"/>
      <c r="K5" s="2"/>
      <c r="L5" s="2"/>
      <c r="M5" s="2"/>
      <c r="N5" s="30"/>
      <c r="O5" s="31"/>
      <c r="P5" s="32"/>
      <c r="Q5" s="33" t="s">
        <v>442</v>
      </c>
      <c r="R5" s="33"/>
      <c r="S5" s="33"/>
      <c r="T5" s="34" t="s">
        <v>443</v>
      </c>
      <c r="U5" s="34"/>
      <c r="V5" s="34"/>
      <c r="W5" s="34" t="s">
        <v>443</v>
      </c>
      <c r="X5" s="34"/>
      <c r="Y5" s="34"/>
      <c r="Z5" s="34" t="s">
        <v>444</v>
      </c>
      <c r="AA5" s="34"/>
      <c r="AB5" s="34"/>
      <c r="AC5" s="35" t="s">
        <v>445</v>
      </c>
      <c r="AD5" s="34"/>
      <c r="AE5" s="36"/>
      <c r="AF5" s="34"/>
      <c r="AG5" s="33" t="s">
        <v>442</v>
      </c>
      <c r="AH5" s="33"/>
      <c r="AI5" s="33"/>
      <c r="AJ5" s="37" t="s">
        <v>443</v>
      </c>
      <c r="AK5" s="37"/>
      <c r="AL5" s="37"/>
      <c r="AM5" s="34" t="s">
        <v>446</v>
      </c>
      <c r="AN5" s="34"/>
      <c r="AO5" s="34"/>
      <c r="AP5" s="38" t="s">
        <v>445</v>
      </c>
      <c r="AQ5" s="37"/>
      <c r="AR5" s="39"/>
      <c r="AS5" s="32"/>
      <c r="AT5" s="34" t="s">
        <v>447</v>
      </c>
      <c r="AU5" s="34"/>
      <c r="AV5" s="34"/>
      <c r="AW5" s="34" t="s">
        <v>448</v>
      </c>
      <c r="AX5" s="34"/>
      <c r="AY5" s="34"/>
      <c r="AZ5" s="34" t="s">
        <v>449</v>
      </c>
      <c r="BA5" s="34"/>
      <c r="BB5" s="34"/>
      <c r="BC5" s="35" t="s">
        <v>445</v>
      </c>
      <c r="BD5" s="34"/>
      <c r="BE5" s="36"/>
      <c r="BF5" s="35" t="s">
        <v>445</v>
      </c>
      <c r="BG5" s="34"/>
      <c r="BH5" s="36"/>
      <c r="BI5" s="35" t="s">
        <v>445</v>
      </c>
      <c r="BJ5" s="34"/>
      <c r="BK5" s="36"/>
      <c r="BL5" s="35" t="s">
        <v>445</v>
      </c>
      <c r="BM5" s="40"/>
    </row>
    <row r="6" customFormat="1" ht="15.75" spans="1:68">
      <c r="A6" s="7" t="s">
        <v>97</v>
      </c>
      <c r="B6" s="7" t="s">
        <v>98</v>
      </c>
      <c r="C6" s="7" t="s">
        <v>99</v>
      </c>
      <c r="D6" s="4"/>
      <c r="E6" s="8" t="s">
        <v>100</v>
      </c>
      <c r="F6" s="8"/>
      <c r="G6" s="8"/>
      <c r="H6" s="8"/>
      <c r="I6" s="8"/>
      <c r="J6" s="8"/>
      <c r="K6" s="8"/>
      <c r="L6" s="8"/>
      <c r="M6" s="41"/>
      <c r="N6" s="30"/>
      <c r="O6" s="31"/>
      <c r="P6" s="42" t="s">
        <v>450</v>
      </c>
      <c r="Q6" s="32" t="s">
        <v>451</v>
      </c>
      <c r="R6" s="42" t="s">
        <v>452</v>
      </c>
      <c r="S6" s="42" t="s">
        <v>453</v>
      </c>
      <c r="T6" s="42" t="s">
        <v>451</v>
      </c>
      <c r="U6" s="42" t="s">
        <v>452</v>
      </c>
      <c r="V6" s="42" t="s">
        <v>453</v>
      </c>
      <c r="W6" s="43" t="s">
        <v>451</v>
      </c>
      <c r="X6" s="42" t="s">
        <v>452</v>
      </c>
      <c r="Y6" s="42" t="s">
        <v>453</v>
      </c>
      <c r="Z6" s="43" t="s">
        <v>451</v>
      </c>
      <c r="AA6" s="43" t="s">
        <v>452</v>
      </c>
      <c r="AB6" s="43" t="s">
        <v>453</v>
      </c>
      <c r="AC6" s="44" t="s">
        <v>454</v>
      </c>
      <c r="AD6" s="43" t="s">
        <v>452</v>
      </c>
      <c r="AE6" s="45" t="s">
        <v>453</v>
      </c>
      <c r="AF6" s="46" t="s">
        <v>450</v>
      </c>
      <c r="AG6" s="47" t="s">
        <v>451</v>
      </c>
      <c r="AH6" s="47" t="s">
        <v>455</v>
      </c>
      <c r="AI6" s="47" t="s">
        <v>453</v>
      </c>
      <c r="AJ6" s="47" t="s">
        <v>451</v>
      </c>
      <c r="AK6" s="47" t="s">
        <v>455</v>
      </c>
      <c r="AL6" s="47" t="s">
        <v>453</v>
      </c>
      <c r="AM6" s="47" t="s">
        <v>451</v>
      </c>
      <c r="AN6" s="47" t="s">
        <v>455</v>
      </c>
      <c r="AO6" s="47" t="s">
        <v>453</v>
      </c>
      <c r="AP6" s="48" t="s">
        <v>454</v>
      </c>
      <c r="AQ6" s="49" t="s">
        <v>452</v>
      </c>
      <c r="AR6" s="50" t="s">
        <v>453</v>
      </c>
      <c r="AS6" s="42" t="s">
        <v>456</v>
      </c>
      <c r="AT6" s="43" t="s">
        <v>451</v>
      </c>
      <c r="AU6" s="43" t="s">
        <v>455</v>
      </c>
      <c r="AV6" s="43" t="s">
        <v>453</v>
      </c>
      <c r="AW6" s="43" t="s">
        <v>451</v>
      </c>
      <c r="AX6" s="43" t="s">
        <v>455</v>
      </c>
      <c r="AY6" s="43" t="s">
        <v>453</v>
      </c>
      <c r="AZ6" s="43" t="s">
        <v>451</v>
      </c>
      <c r="BA6" s="43" t="s">
        <v>455</v>
      </c>
      <c r="BB6" s="43" t="s">
        <v>453</v>
      </c>
      <c r="BC6" s="44" t="s">
        <v>454</v>
      </c>
      <c r="BD6" s="43" t="s">
        <v>452</v>
      </c>
      <c r="BE6" s="45" t="s">
        <v>453</v>
      </c>
      <c r="BF6" s="44" t="s">
        <v>454</v>
      </c>
      <c r="BG6" s="43" t="s">
        <v>452</v>
      </c>
      <c r="BH6" s="45" t="s">
        <v>453</v>
      </c>
      <c r="BI6" s="44" t="s">
        <v>454</v>
      </c>
      <c r="BJ6" s="43" t="s">
        <v>452</v>
      </c>
      <c r="BK6" s="45" t="s">
        <v>453</v>
      </c>
      <c r="BL6" s="43" t="s">
        <v>452</v>
      </c>
      <c r="BM6" s="43" t="s">
        <v>453</v>
      </c>
    </row>
    <row r="7" customFormat="1" ht="15.75" spans="1:68">
      <c r="A7" s="7"/>
      <c r="B7" s="7"/>
      <c r="C7" s="7"/>
      <c r="D7" s="4"/>
      <c r="E7" s="8"/>
      <c r="F7" s="8"/>
      <c r="G7" s="8"/>
      <c r="H7" s="8"/>
      <c r="I7" s="8"/>
      <c r="J7" s="8"/>
      <c r="K7" s="8"/>
      <c r="L7" s="8"/>
      <c r="M7" s="41"/>
      <c r="N7" t="s">
        <v>457</v>
      </c>
      <c r="O7" s="24">
        <f>fcross</f>
        <v>700</v>
      </c>
      <c r="P7" s="51" t="str">
        <f>COMPLEX(ADC_VINmin,0)</f>
        <v>58,695652173913</v>
      </c>
      <c r="Q7" s="52" t="str">
        <f>IMSUM(COMPLEX(1,0),IMDIV(COMPLEX(0,2*PI()*O7),COMPLEX(wp_lf_VINmin,0)))</f>
        <v>1+6,96067659247547i</v>
      </c>
      <c r="R7" s="52">
        <f t="shared" ref="R7:R13" si="0">IMABS(Q7)</f>
        <v>7.0321418234444</v>
      </c>
      <c r="S7" s="52">
        <f t="shared" ref="S7:S13" si="1">IMARGUMENT(Q7)</f>
        <v>1.42810845051175</v>
      </c>
      <c r="T7" s="52" t="str">
        <f>IMSUM(COMPLEX(1,0),IMDIV(COMPLEX(0,2*PI()*O7),COMPLEX(wz_esr_VINmin,0)))</f>
        <v>1+0,0689642419316032i</v>
      </c>
      <c r="U7" s="52">
        <f t="shared" ref="U7:U13" si="2">IMABS(T7)</f>
        <v>1.00237521251535</v>
      </c>
      <c r="V7" s="52">
        <f t="shared" ref="V7:V13" si="3">IMARGUMENT(T7)</f>
        <v>0.0688552200281267</v>
      </c>
      <c r="W7" s="53" t="str">
        <f>IMSUB(COMPLEX(1,0),IMDIV(COMPLEX(0,2*PI()*O7),COMPLEX(wz_RHP_VINmin,0)))</f>
        <v>1-0,059718185686238i</v>
      </c>
      <c r="X7" s="52">
        <f t="shared" ref="X7:X13" si="4">IMABS(W7)</f>
        <v>1.00178154390149</v>
      </c>
      <c r="Y7" s="52">
        <f t="shared" ref="Y7:Y13" si="5">IMARGUMENT(W7)</f>
        <v>-0.0596473469760306</v>
      </c>
      <c r="Z7" s="53" t="str">
        <f>IMSUM(COMPLEX(1,0),IMDIV(COMPLEX(0,2*PI()*O7),COMPLEX(Q_VINmin*(wsl_VINmin/2),0)),IMDIV(IMPOWER(COMPLEX(0,2*PI()*O7),2),IMPOWER(COMPLEX(wsl_VINmin/2,0),2)))</f>
        <v>0,999996+0,0119834843466316i</v>
      </c>
      <c r="AA7" s="52">
        <f t="shared" ref="AA7:AA13" si="6">IMABS(Z7)</f>
        <v>1.00006779965815</v>
      </c>
      <c r="AB7" s="52">
        <f t="shared" ref="AB7:AB13" si="7">IMARGUMENT(Z7)</f>
        <v>0.0119829586982803</v>
      </c>
      <c r="AC7" s="54" t="str">
        <f t="shared" ref="AC7:AC13" si="8">(IMDIV(IMPRODUCT(P7,T7,W7),IMPRODUCT(Q7,Z7)))</f>
        <v>1,16877732432093-8,29903289080319i</v>
      </c>
      <c r="AD7" s="55">
        <f t="shared" ref="AD7:AD13" si="9">20*LOG(IMABS(AC7))</f>
        <v>18.4658442472305</v>
      </c>
      <c r="AE7" s="24">
        <f t="shared" ref="AE7:AE13" si="10">(180/PI())*IMARGUMENT(AC7)</f>
        <v>-81.9835875966047</v>
      </c>
      <c r="AF7" s="32" t="str">
        <f>COMPLEX($B$68,0)</f>
        <v>249,914648392112</v>
      </c>
      <c r="AG7" s="32" t="str">
        <f t="shared" ref="AG7:AG13" si="11">IMSUM(COMPLEX(1,0),IMDIV(COMPLEX(0,2*PI()*O7),COMPLEX(wp_lf_DCM,0)))</f>
        <v>1+4,61814120077699i</v>
      </c>
      <c r="AH7" s="32">
        <f>IMABS(AG7)</f>
        <v>4.72516964249052</v>
      </c>
      <c r="AI7" s="32">
        <f>IMARGUMENT(AG7)</f>
        <v>1.3575512180247</v>
      </c>
      <c r="AJ7" s="32" t="str">
        <f t="shared" ref="AJ7:AJ13" si="12">IMSUM(COMPLEX(1,0),IMDIV(COMPLEX(0,2*PI()*O7),COMPLEX(wz1_dcm,0)))</f>
        <v>1+0,0689642419316032i</v>
      </c>
      <c r="AK7" s="32">
        <f>IMABS(AJ7)</f>
        <v>1.00237521251535</v>
      </c>
      <c r="AL7" s="32">
        <f>IMARGUMENT(AJ7)</f>
        <v>0.0688552200281267</v>
      </c>
      <c r="AM7" s="32" t="str">
        <f t="shared" ref="AM7:AM13" si="13">IMSUB(COMPLEX(1,0),IMDIV(COMPLEX(0,2*PI()*O7),COMPLEX(wz2_dcm,0)))</f>
        <v>1-0,00697900406357354i</v>
      </c>
      <c r="AN7" s="32">
        <f>IMABS(AM7)</f>
        <v>1.00002435295233</v>
      </c>
      <c r="AO7" s="32">
        <f>IMARGUMENT(AM7)</f>
        <v>-0.00697889075926955</v>
      </c>
      <c r="AP7" s="30" t="str">
        <f>(IMDIV(IMPRODUCT(AF7,AJ7,AM7),IMPRODUCT(AG7)))</f>
        <v>14,4028019657702-51,0231542374649i</v>
      </c>
      <c r="AQ7" s="32">
        <f>20*LOG(IMABS(AP7))</f>
        <v>34.4883040419074</v>
      </c>
      <c r="AR7" s="31">
        <f>(180/PI())*IMARGUMENT(AP7)</f>
        <v>-74.2367027467922</v>
      </c>
      <c r="AS7" s="53" t="str">
        <f t="shared" ref="AS7:AS13" si="14">COMPLEX(Adc_ea,0)</f>
        <v>-0,000100699300699301</v>
      </c>
      <c r="AT7" s="53" t="str">
        <f t="shared" ref="AT7:AT13" si="15">COMPLEX(0,2*PI()*O7*wp0_ea)</f>
        <v>0,000988282216966277i</v>
      </c>
      <c r="AU7" s="53">
        <f t="shared" ref="AU7:AU13" si="16">IMABS(AT7)</f>
        <v>0.000988282216966277</v>
      </c>
      <c r="AV7" s="53">
        <f t="shared" ref="AV7:AV13" si="17">IMARGUMENT(AT7)</f>
        <v>1.5707963267949</v>
      </c>
      <c r="AW7" s="53" t="str">
        <f t="shared" ref="AW7:AW13" si="18">IMSUM(COMPLEX(1,0),IMDIV(COMPLEX(0,2*PI()*O7),COMPLEX(wp1_ea,0)))</f>
        <v>1+0,0505982368194992i</v>
      </c>
      <c r="AX7" s="53">
        <f t="shared" ref="AX7:AX13" si="19">IMABS(AW7)</f>
        <v>1.00127927251554</v>
      </c>
      <c r="AY7" s="53">
        <f t="shared" ref="AY7:AY13" si="20">IMARGUMENT(AW7)</f>
        <v>0.0505551228035251</v>
      </c>
      <c r="AZ7" s="53" t="str">
        <f t="shared" ref="AZ7:AZ13" si="21">IMSUM(COMPLEX(1,0),IMDIV(COMPLEX(0,2*PI()*O7),COMPLEX(wz_ea,0)))</f>
        <v>1+2,41902634326414i</v>
      </c>
      <c r="BA7" s="53">
        <f t="shared" ref="BA7:BA13" si="22">IMABS(AZ7)</f>
        <v>2.61757300746433</v>
      </c>
      <c r="BB7" s="53">
        <f t="shared" ref="BB7:BB13" si="23">IMARGUMENT(AZ7)</f>
        <v>1.17880086316425</v>
      </c>
      <c r="BC7" s="23" t="str">
        <f t="shared" ref="BC7:BC13" si="24">IMPRODUCT(AS7,IMDIV(AZ7,IMPRODUCT(AT7,AW7)))</f>
        <v>-0,240710607118291+0,114072796161721i</v>
      </c>
      <c r="BD7" s="53">
        <f t="shared" ref="BD7:BD13" si="25">20*LOG(IMABS(BC7))</f>
        <v>-11.490218970789</v>
      </c>
      <c r="BE7" s="24">
        <f t="shared" ref="BE7:BE13" si="26">(180/PI())*IMARGUMENT(BC7)</f>
        <v>154.643719176283</v>
      </c>
      <c r="BF7" s="23" t="str">
        <f t="shared" ref="BF7:BF13" si="27">IMPRODUCT(AC7,BC7)</f>
        <v>0,665356787968628+2,1309909431156i</v>
      </c>
      <c r="BG7" s="55">
        <f t="shared" ref="BG7:BG13" si="28">20*LOG(IMABS(BF7))</f>
        <v>6.97562527644148</v>
      </c>
      <c r="BH7" s="24">
        <f t="shared" ref="BH7:BH13" si="29">(180/PI())*IMARGUMENT(BF7)</f>
        <v>72.660131579678</v>
      </c>
      <c r="BI7" s="23" t="str">
        <f>IMPRODUCT(AP7,BC7)</f>
        <v>2,35344666747332+13,9247823263893i</v>
      </c>
      <c r="BJ7" s="55">
        <f t="shared" ref="BJ7:BJ13" si="30">20*LOG(IMABS(BI7))</f>
        <v>22.9980850711183</v>
      </c>
      <c r="BK7" s="24">
        <f t="shared" ref="BK7:BK13" si="31">(180/PI())*IMARGUMENT(BI7)</f>
        <v>80.4070164294905</v>
      </c>
      <c r="BL7">
        <f>IF($B$31=0,BJ7,BG7)</f>
        <v>6.97562527644148</v>
      </c>
      <c r="BM7">
        <f>IF($B$31=0,BK7,BH7)</f>
        <v>72.660131579678</v>
      </c>
    </row>
    <row r="8" customFormat="1" ht="15.75" spans="1:68">
      <c r="A8" s="7"/>
      <c r="B8" s="7"/>
      <c r="C8" s="7"/>
      <c r="D8" s="4"/>
      <c r="E8" s="8"/>
      <c r="F8" s="8"/>
      <c r="G8" s="8"/>
      <c r="H8" s="8"/>
      <c r="I8" s="8"/>
      <c r="J8" s="8"/>
      <c r="K8" s="8"/>
      <c r="L8" s="8"/>
      <c r="M8" s="41"/>
      <c r="N8" s="23" t="s">
        <v>458</v>
      </c>
      <c r="O8" s="24">
        <f>fcross</f>
        <v>700</v>
      </c>
      <c r="P8" s="51" t="str">
        <f t="shared" ref="P8:P13" si="32">COMPLEX(Adc,0)</f>
        <v>75</v>
      </c>
      <c r="Q8" s="52" t="str">
        <f t="shared" ref="Q8:Q13" si="33">IMSUM(COMPLEX(1,0),IMDIV(COMPLEX(0,2*PI()*O8),COMPLEX(wp_lf,0)))</f>
        <v>1+7,18377520120866i</v>
      </c>
      <c r="R8" s="52">
        <f t="shared" si="0"/>
        <v>7.25304254375366</v>
      </c>
      <c r="S8" s="52">
        <f t="shared" si="1"/>
        <v>1.43248256756768</v>
      </c>
      <c r="T8" s="52" t="str">
        <f t="shared" ref="T8:T13" si="34">IMSUM(COMPLEX(1,0),IMDIV(COMPLEX(0,2*PI()*O8),COMPLEX(wz_esr,0)))</f>
        <v>1+0,0689642419316032i</v>
      </c>
      <c r="U8" s="52">
        <f t="shared" si="2"/>
        <v>1.00237521251535</v>
      </c>
      <c r="V8" s="52">
        <f t="shared" si="3"/>
        <v>0.0688552200281267</v>
      </c>
      <c r="W8" s="53" t="str">
        <f t="shared" ref="W8:W13" si="35">IMSUB(COMPLEX(1,0),IMDIV(COMPLEX(0,2*PI()*O8),COMPLEX(wz_rhp,0)))</f>
        <v>1-0,0361754394060865i</v>
      </c>
      <c r="X8" s="52">
        <f t="shared" si="4"/>
        <v>1.00065411727341</v>
      </c>
      <c r="Y8" s="52">
        <f t="shared" si="5"/>
        <v>-0.0361596713059943</v>
      </c>
      <c r="Z8" s="53" t="str">
        <f t="shared" ref="Z8:Z13" si="36">IMSUM(COMPLEX(1,0),IMDIV(COMPLEX(0,2*PI()*O8),COMPLEX(Q*(wsl/2),0)),IMDIV(IMPOWER(COMPLEX(0,2*PI()*O8),2),IMPOWER(COMPLEX(wsl/2,0),2)))</f>
        <v>0,999996+0,0113519206542715i</v>
      </c>
      <c r="AA8" s="52">
        <f t="shared" si="6"/>
        <v>1.0000604312333</v>
      </c>
      <c r="AB8" s="52">
        <f t="shared" si="7"/>
        <v>0.0113514784680609</v>
      </c>
      <c r="AC8" s="54" t="str">
        <f t="shared" si="8"/>
        <v>1,64881783815443-10,2392985043065i</v>
      </c>
      <c r="AD8" s="55">
        <f t="shared" si="9"/>
        <v>20.3165819912039</v>
      </c>
      <c r="AE8" s="24">
        <f t="shared" si="10"/>
        <v>-80.8522802045031</v>
      </c>
      <c r="AF8" s="32" t="str">
        <f t="shared" ref="AF8:AF13" si="37">COMPLEX($B$68,0)</f>
        <v>249,914648392112</v>
      </c>
      <c r="AG8" s="32" t="str">
        <f t="shared" si="11"/>
        <v>1+4,61814120077699i</v>
      </c>
      <c r="AH8" s="32">
        <f t="shared" ref="AH8:AH13" si="38">IMABS(AG8)</f>
        <v>4.72516964249052</v>
      </c>
      <c r="AI8" s="32">
        <f t="shared" ref="AI8:AI13" si="39">IMARGUMENT(AG8)</f>
        <v>1.3575512180247</v>
      </c>
      <c r="AJ8" s="32" t="str">
        <f t="shared" si="12"/>
        <v>1+0,0689642419316032i</v>
      </c>
      <c r="AK8" s="32">
        <f t="shared" ref="AK8:AK13" si="40">IMABS(AJ8)</f>
        <v>1.00237521251535</v>
      </c>
      <c r="AL8" s="32">
        <f t="shared" ref="AL8:AL13" si="41">IMARGUMENT(AJ8)</f>
        <v>0.0688552200281267</v>
      </c>
      <c r="AM8" s="32" t="str">
        <f t="shared" si="13"/>
        <v>1-0,00697900406357354i</v>
      </c>
      <c r="AN8" s="32">
        <f t="shared" ref="AN8:AN13" si="42">IMABS(AM8)</f>
        <v>1.00002435295233</v>
      </c>
      <c r="AO8" s="32">
        <f t="shared" ref="AO8:AO13" si="43">IMARGUMENT(AM8)</f>
        <v>-0.00697889075926955</v>
      </c>
      <c r="AP8" s="30" t="str">
        <f t="shared" ref="AP8:AP13" si="44">(IMDIV(IMPRODUCT(AF8,AJ8,AM8),IMPRODUCT(AG8)))</f>
        <v>14,4028019657702-51,0231542374649i</v>
      </c>
      <c r="AQ8" s="32">
        <f t="shared" ref="AQ8:AQ13" si="45">20*LOG(IMABS(AP8))</f>
        <v>34.4883040419074</v>
      </c>
      <c r="AR8" s="31">
        <f t="shared" ref="AR8:AR13" si="46">(180/PI())*IMARGUMENT(AP8)</f>
        <v>-74.2367027467922</v>
      </c>
      <c r="AS8" s="53" t="str">
        <f t="shared" si="14"/>
        <v>-0,000100699300699301</v>
      </c>
      <c r="AT8" s="53" t="str">
        <f t="shared" si="15"/>
        <v>0,000988282216966277i</v>
      </c>
      <c r="AU8" s="53">
        <f t="shared" si="16"/>
        <v>0.000988282216966277</v>
      </c>
      <c r="AV8" s="53">
        <f t="shared" si="17"/>
        <v>1.5707963267949</v>
      </c>
      <c r="AW8" s="53" t="str">
        <f t="shared" si="18"/>
        <v>1+0,0505982368194992i</v>
      </c>
      <c r="AX8" s="53">
        <f t="shared" si="19"/>
        <v>1.00127927251554</v>
      </c>
      <c r="AY8" s="53">
        <f t="shared" si="20"/>
        <v>0.0505551228035251</v>
      </c>
      <c r="AZ8" s="53" t="str">
        <f t="shared" si="21"/>
        <v>1+2,41902634326414i</v>
      </c>
      <c r="BA8" s="53">
        <f t="shared" si="22"/>
        <v>2.61757300746433</v>
      </c>
      <c r="BB8" s="53">
        <f t="shared" si="23"/>
        <v>1.17880086316425</v>
      </c>
      <c r="BC8" s="23" t="str">
        <f t="shared" si="24"/>
        <v>-0,240710607118291+0,114072796161721i</v>
      </c>
      <c r="BD8" s="53">
        <f t="shared" si="25"/>
        <v>-11.490218970789</v>
      </c>
      <c r="BE8" s="24">
        <f t="shared" si="26"/>
        <v>154.643719176283</v>
      </c>
      <c r="BF8" s="23" t="str">
        <f t="shared" si="27"/>
        <v>0,771137468271149+2,65279302059663i</v>
      </c>
      <c r="BG8" s="55">
        <f t="shared" si="28"/>
        <v>8.82636302041484</v>
      </c>
      <c r="BH8" s="24">
        <f t="shared" si="29"/>
        <v>73.7914389717797</v>
      </c>
      <c r="BI8" s="23" t="str">
        <f t="shared" ref="BI8:BI13" si="47">IMPRODUCT(AP8,BC8)</f>
        <v>2,35344666747332+13,9247823263893i</v>
      </c>
      <c r="BJ8" s="55">
        <f t="shared" si="30"/>
        <v>22.9980850711183</v>
      </c>
      <c r="BK8" s="24">
        <f t="shared" si="31"/>
        <v>80.4070164294905</v>
      </c>
      <c r="BL8">
        <f t="shared" ref="BL8:BL13" si="48">IF($B$31=0,BJ8,BG8)</f>
        <v>8.82636302041484</v>
      </c>
      <c r="BM8">
        <f t="shared" ref="BM8:BM13" si="49">IF($B$31=0,BK8,BH8)</f>
        <v>73.7914389717797</v>
      </c>
    </row>
    <row r="9" customFormat="1" ht="15.75" spans="1:68">
      <c r="A9" s="56" t="s">
        <v>459</v>
      </c>
      <c r="B9" s="7"/>
      <c r="C9" s="7"/>
      <c r="D9" s="4"/>
      <c r="E9" s="8"/>
      <c r="F9" s="8"/>
      <c r="G9" s="8"/>
      <c r="H9" s="8"/>
      <c r="I9" s="8"/>
      <c r="J9" s="8"/>
      <c r="K9" s="8"/>
      <c r="L9" s="8"/>
      <c r="M9" s="41"/>
      <c r="N9" s="57" t="s">
        <v>446</v>
      </c>
      <c r="O9" s="58">
        <f>IF($B$31=0,B74,wz_rhp/(2*PI()))</f>
        <v>19350.1450567654</v>
      </c>
      <c r="P9" s="59" t="str">
        <f t="shared" si="32"/>
        <v>75</v>
      </c>
      <c r="Q9" s="60" t="str">
        <f t="shared" si="33"/>
        <v>1+198,581560283688i</v>
      </c>
      <c r="R9" s="60">
        <f t="shared" si="0"/>
        <v>198.584078124869</v>
      </c>
      <c r="S9" s="60">
        <f t="shared" si="1"/>
        <v>1.56576065507445</v>
      </c>
      <c r="T9" s="60" t="str">
        <f t="shared" si="34"/>
        <v>1+1,90638297872341i</v>
      </c>
      <c r="U9" s="60">
        <f t="shared" si="2"/>
        <v>2.15274152223771</v>
      </c>
      <c r="V9" s="60">
        <f t="shared" si="3"/>
        <v>1.08769935802898</v>
      </c>
      <c r="W9" s="61" t="str">
        <f t="shared" si="35"/>
        <v>1-i</v>
      </c>
      <c r="X9" s="60">
        <f t="shared" si="4"/>
        <v>1.4142135623731</v>
      </c>
      <c r="Y9" s="60">
        <f t="shared" si="5"/>
        <v>-0.785398163397448</v>
      </c>
      <c r="Z9" s="61" t="str">
        <f t="shared" si="36"/>
        <v>0,99694344396965+0,31380187333292i</v>
      </c>
      <c r="AA9" s="60">
        <f t="shared" si="6"/>
        <v>1.04516402836173</v>
      </c>
      <c r="AB9" s="60">
        <f t="shared" si="7"/>
        <v>0.304946083386386</v>
      </c>
      <c r="AC9" s="62" t="str">
        <f t="shared" si="8"/>
        <v>0,00263014086277751-1,10011485336538i</v>
      </c>
      <c r="AD9" s="63">
        <f t="shared" si="9"/>
        <v>0.828785391851442</v>
      </c>
      <c r="AE9" s="64">
        <f t="shared" si="10"/>
        <v>-89.8630182263399</v>
      </c>
      <c r="AF9" s="32" t="str">
        <f t="shared" si="37"/>
        <v>249,914648392112</v>
      </c>
      <c r="AG9" s="32" t="str">
        <f t="shared" si="11"/>
        <v>1+127,659574468085i</v>
      </c>
      <c r="AH9" s="32">
        <f t="shared" si="38"/>
        <v>127.663491074671</v>
      </c>
      <c r="AI9" s="32">
        <f t="shared" si="39"/>
        <v>1.56296315367634</v>
      </c>
      <c r="AJ9" s="32" t="str">
        <f t="shared" si="12"/>
        <v>1+1,90638297872341i</v>
      </c>
      <c r="AK9" s="32">
        <f t="shared" si="40"/>
        <v>2.15274152223771</v>
      </c>
      <c r="AL9" s="32">
        <f t="shared" si="41"/>
        <v>1.08769935802898</v>
      </c>
      <c r="AM9" s="32" t="str">
        <f t="shared" si="13"/>
        <v>1-0,192921058545576i</v>
      </c>
      <c r="AN9" s="32">
        <f t="shared" si="42"/>
        <v>1.01843926418336</v>
      </c>
      <c r="AO9" s="32">
        <f t="shared" si="43"/>
        <v>-0.190579712126579</v>
      </c>
      <c r="AP9" s="30" t="str">
        <f t="shared" si="44"/>
        <v>3,3751518747445-2,65121878052624i</v>
      </c>
      <c r="AQ9" s="32">
        <f t="shared" si="45"/>
        <v>12.6530403608339</v>
      </c>
      <c r="AR9" s="31">
        <f t="shared" si="46"/>
        <v>-38.1500228116332</v>
      </c>
      <c r="AS9" s="61" t="str">
        <f t="shared" si="14"/>
        <v>-0,000100699300699301</v>
      </c>
      <c r="AT9" s="61" t="str">
        <f t="shared" si="15"/>
        <v>0,0273191489361702i</v>
      </c>
      <c r="AU9" s="61">
        <f t="shared" si="16"/>
        <v>0.0273191489361702</v>
      </c>
      <c r="AV9" s="61">
        <f t="shared" si="17"/>
        <v>1.5707963267949</v>
      </c>
      <c r="AW9" s="61" t="str">
        <f t="shared" si="18"/>
        <v>1+1,3986903172484i</v>
      </c>
      <c r="AX9" s="61">
        <f t="shared" si="19"/>
        <v>1.71939948923001</v>
      </c>
      <c r="AY9" s="61">
        <f t="shared" si="20"/>
        <v>0.950104106202392</v>
      </c>
      <c r="AZ9" s="61" t="str">
        <f t="shared" si="21"/>
        <v>1+66,869300911854i</v>
      </c>
      <c r="BA9" s="61">
        <f t="shared" si="22"/>
        <v>66.8767777665766</v>
      </c>
      <c r="BB9" s="61">
        <f t="shared" si="23"/>
        <v>1.55584289599448</v>
      </c>
      <c r="BC9" s="57" t="str">
        <f t="shared" si="24"/>
        <v>-0,0816304317133758+0,117861728022881i</v>
      </c>
      <c r="BD9" s="61">
        <f t="shared" si="25"/>
        <v>-16.8708432929109</v>
      </c>
      <c r="BE9" s="64">
        <f t="shared" si="26"/>
        <v>124.706276142449</v>
      </c>
      <c r="BF9" s="57" t="str">
        <f t="shared" si="27"/>
        <v>0,129446738107186+0,0901128433615436i</v>
      </c>
      <c r="BG9" s="63">
        <f t="shared" si="28"/>
        <v>-16.0420579010594</v>
      </c>
      <c r="BH9" s="64">
        <f t="shared" si="29"/>
        <v>34.8432579161087</v>
      </c>
      <c r="BI9" s="23" t="str">
        <f t="shared" si="47"/>
        <v>0,0369621222059347+0,61422136591802i</v>
      </c>
      <c r="BJ9" s="63">
        <f t="shared" si="30"/>
        <v>-4.21780293207699</v>
      </c>
      <c r="BK9" s="64">
        <f t="shared" si="31"/>
        <v>86.5562533308153</v>
      </c>
      <c r="BL9">
        <f t="shared" si="48"/>
        <v>-16.0420579010594</v>
      </c>
      <c r="BM9">
        <f t="shared" si="49"/>
        <v>34.8432579161087</v>
      </c>
    </row>
    <row r="10" customFormat="1" ht="15.75" spans="1:68">
      <c r="A10" t="s">
        <v>104</v>
      </c>
      <c r="B10" s="15">
        <f>VIN_min</f>
        <v>3</v>
      </c>
      <c r="C10" t="s">
        <v>7</v>
      </c>
      <c r="E10" t="s">
        <v>105</v>
      </c>
      <c r="N10" s="30" t="s">
        <v>443</v>
      </c>
      <c r="O10" s="65">
        <f>IF(B31=0,B72,wz_esr/(2*PI()))</f>
        <v>10150.1876971872</v>
      </c>
      <c r="P10" s="66" t="str">
        <f t="shared" si="32"/>
        <v>75</v>
      </c>
      <c r="Q10" s="42" t="str">
        <f t="shared" si="33"/>
        <v>1+104,166666666667i</v>
      </c>
      <c r="R10" s="42">
        <f t="shared" si="0"/>
        <v>104.17146655608</v>
      </c>
      <c r="S10" s="42">
        <f t="shared" si="1"/>
        <v>1.56119662169059</v>
      </c>
      <c r="T10" s="42" t="str">
        <f t="shared" si="34"/>
        <v>1+i</v>
      </c>
      <c r="U10" s="42">
        <f t="shared" si="2"/>
        <v>1.4142135623731</v>
      </c>
      <c r="V10" s="42">
        <f t="shared" si="3"/>
        <v>0.785398163397448</v>
      </c>
      <c r="W10" s="32" t="str">
        <f t="shared" si="35"/>
        <v>1-0,524553571428571i</v>
      </c>
      <c r="X10" s="42">
        <f t="shared" si="4"/>
        <v>1.12922825385237</v>
      </c>
      <c r="Y10" s="42">
        <f t="shared" si="5"/>
        <v>-0.483096968765918</v>
      </c>
      <c r="Z10" s="32" t="str">
        <f t="shared" si="36"/>
        <v>0,999158968895607+0,164605893377759i</v>
      </c>
      <c r="AA10" s="42">
        <f t="shared" si="6"/>
        <v>1.01262715016892</v>
      </c>
      <c r="AB10" s="42">
        <f t="shared" si="7"/>
        <v>0.163277830189631</v>
      </c>
      <c r="AC10" s="67" t="str">
        <f t="shared" si="8"/>
        <v>0,16813024945009-1,1229110688665i</v>
      </c>
      <c r="AD10" s="68">
        <f t="shared" si="9"/>
        <v>1.10319302854251</v>
      </c>
      <c r="AE10" s="31">
        <f t="shared" si="10"/>
        <v>-81.4845253767231</v>
      </c>
      <c r="AF10" s="32" t="str">
        <f t="shared" si="37"/>
        <v>249,914648392112</v>
      </c>
      <c r="AG10" s="32" t="str">
        <f t="shared" si="11"/>
        <v>1+66,9642857142856i</v>
      </c>
      <c r="AH10" s="32">
        <f t="shared" si="38"/>
        <v>66.9717519647237</v>
      </c>
      <c r="AI10" s="32">
        <f t="shared" si="39"/>
        <v>1.55586410337962</v>
      </c>
      <c r="AJ10" s="32" t="str">
        <f t="shared" si="12"/>
        <v>1+i</v>
      </c>
      <c r="AK10" s="32">
        <f t="shared" si="40"/>
        <v>1.4142135623731</v>
      </c>
      <c r="AL10" s="32">
        <f t="shared" si="41"/>
        <v>0.785398163397448</v>
      </c>
      <c r="AM10" s="32" t="str">
        <f t="shared" si="13"/>
        <v>1-0,101197430263862i</v>
      </c>
      <c r="AN10" s="32">
        <f t="shared" si="42"/>
        <v>1.00510741709133</v>
      </c>
      <c r="AO10" s="32">
        <f t="shared" si="43"/>
        <v>-0.100854085912528</v>
      </c>
      <c r="AP10" s="30" t="str">
        <f t="shared" si="44"/>
        <v>3,41499445568726-4,05873625380911i</v>
      </c>
      <c r="AQ10" s="32">
        <f t="shared" si="45"/>
        <v>14.4925505593842</v>
      </c>
      <c r="AR10" s="31">
        <f t="shared" si="46"/>
        <v>-49.9229600889961</v>
      </c>
      <c r="AS10" s="32" t="str">
        <f t="shared" si="14"/>
        <v>-0,000100699300699301</v>
      </c>
      <c r="AT10" s="32" t="str">
        <f t="shared" si="15"/>
        <v>0,0143303571428571i</v>
      </c>
      <c r="AU10" s="32">
        <f t="shared" si="16"/>
        <v>0.0143303571428571</v>
      </c>
      <c r="AV10" s="32">
        <f t="shared" si="17"/>
        <v>1.5707963267949</v>
      </c>
      <c r="AW10" s="32" t="str">
        <f t="shared" si="18"/>
        <v>1+0,733688001235207i</v>
      </c>
      <c r="AX10" s="32">
        <f t="shared" si="19"/>
        <v>1.24028145320186</v>
      </c>
      <c r="AY10" s="32">
        <f t="shared" si="20"/>
        <v>0.632979432637693</v>
      </c>
      <c r="AZ10" s="32" t="str">
        <f t="shared" si="21"/>
        <v>1+35,0765306122448i</v>
      </c>
      <c r="BA10" s="32">
        <f t="shared" si="22"/>
        <v>35.0907822624653</v>
      </c>
      <c r="BB10" s="32">
        <f t="shared" si="23"/>
        <v>1.54229495588286</v>
      </c>
      <c r="BC10" s="30" t="str">
        <f t="shared" si="24"/>
        <v>-0,156879133258078+0,12212732941552i</v>
      </c>
      <c r="BD10" s="32">
        <f t="shared" si="25"/>
        <v>-14.0311551806189</v>
      </c>
      <c r="BE10" s="31">
        <f t="shared" si="26"/>
        <v>142.099941727678</v>
      </c>
      <c r="BF10" s="30" t="str">
        <f t="shared" si="27"/>
        <v>0,110762002203598+0,196694613568983i</v>
      </c>
      <c r="BG10" s="68">
        <f t="shared" si="28"/>
        <v>-12.9279621520764</v>
      </c>
      <c r="BH10" s="31">
        <f t="shared" si="29"/>
        <v>60.6154163509551</v>
      </c>
      <c r="BI10" s="23" t="str">
        <f t="shared" si="47"/>
        <v>-0,0400587508097004+1,0537951784626i</v>
      </c>
      <c r="BJ10" s="68">
        <f t="shared" si="30"/>
        <v>0.461395378765271</v>
      </c>
      <c r="BK10" s="31">
        <f t="shared" si="31"/>
        <v>92.1769816386821</v>
      </c>
      <c r="BL10">
        <f t="shared" si="48"/>
        <v>-12.9279621520764</v>
      </c>
      <c r="BM10">
        <f t="shared" si="49"/>
        <v>60.6154163509551</v>
      </c>
    </row>
    <row r="11" customFormat="1" ht="15.75" spans="1:68">
      <c r="A11" t="s">
        <v>106</v>
      </c>
      <c r="B11" s="15">
        <f>VIN_nom</f>
        <v>4</v>
      </c>
      <c r="C11" t="s">
        <v>7</v>
      </c>
      <c r="E11" t="s">
        <v>107</v>
      </c>
      <c r="N11" s="69" t="s">
        <v>442</v>
      </c>
      <c r="O11" s="70">
        <f>IF(B31=0,B70,wp_lf/(2*PI()))</f>
        <v>97.4418018929972</v>
      </c>
      <c r="P11" s="71" t="str">
        <f t="shared" si="32"/>
        <v>75</v>
      </c>
      <c r="Q11" s="72" t="str">
        <f t="shared" si="33"/>
        <v>1+i</v>
      </c>
      <c r="R11" s="72">
        <f t="shared" si="0"/>
        <v>1.4142135623731</v>
      </c>
      <c r="S11" s="72">
        <f t="shared" si="1"/>
        <v>0.785398163397448</v>
      </c>
      <c r="T11" s="72" t="str">
        <f t="shared" si="34"/>
        <v>1+0,00960000000000001i</v>
      </c>
      <c r="U11" s="72">
        <f t="shared" si="2"/>
        <v>1.00004607893837</v>
      </c>
      <c r="V11" s="72">
        <f t="shared" si="3"/>
        <v>0.00959970510430639</v>
      </c>
      <c r="W11" s="73" t="str">
        <f t="shared" si="35"/>
        <v>1-0,00503571428571429i</v>
      </c>
      <c r="X11" s="72">
        <f t="shared" si="4"/>
        <v>1.0000126791288</v>
      </c>
      <c r="Y11" s="72">
        <f t="shared" si="5"/>
        <v>-0.00503567172044538</v>
      </c>
      <c r="Z11" s="73" t="str">
        <f t="shared" si="36"/>
        <v>0,999999922490573+0,00158021657642649i</v>
      </c>
      <c r="AA11" s="72">
        <f t="shared" si="6"/>
        <v>1.0000011710321</v>
      </c>
      <c r="AB11" s="72">
        <f t="shared" si="7"/>
        <v>0.00158021538359844</v>
      </c>
      <c r="AC11" s="74" t="str">
        <f t="shared" si="8"/>
        <v>37,6138920418911-37,3900931366503i</v>
      </c>
      <c r="AD11" s="75">
        <f t="shared" si="9"/>
        <v>34.4914254959122</v>
      </c>
      <c r="AE11" s="76">
        <f t="shared" si="10"/>
        <v>-44.8290398217498</v>
      </c>
      <c r="AF11" s="32" t="str">
        <f t="shared" si="37"/>
        <v>249,914648392112</v>
      </c>
      <c r="AG11" s="32" t="str">
        <f t="shared" si="11"/>
        <v>1+0,642857142857143i</v>
      </c>
      <c r="AH11" s="32">
        <f t="shared" si="38"/>
        <v>1.18880835550666</v>
      </c>
      <c r="AI11" s="32">
        <f t="shared" si="39"/>
        <v>0.571337479833627</v>
      </c>
      <c r="AJ11" s="32" t="str">
        <f t="shared" si="12"/>
        <v>1+0,00960000000000001i</v>
      </c>
      <c r="AK11" s="32">
        <f t="shared" si="40"/>
        <v>1.00004607893837</v>
      </c>
      <c r="AL11" s="32">
        <f t="shared" si="41"/>
        <v>0.00959970510430639</v>
      </c>
      <c r="AM11" s="32" t="str">
        <f t="shared" si="13"/>
        <v>1-0,000971495330533079i</v>
      </c>
      <c r="AN11" s="32">
        <f t="shared" si="42"/>
        <v>1.00000047190148</v>
      </c>
      <c r="AO11" s="32">
        <f t="shared" si="43"/>
        <v>-0.000971495024899792</v>
      </c>
      <c r="AP11" s="30" t="str">
        <f t="shared" si="44"/>
        <v>177,817447739262-112,154826693192i</v>
      </c>
      <c r="AQ11" s="32">
        <f t="shared" si="45"/>
        <v>46.4540015976886</v>
      </c>
      <c r="AR11" s="31">
        <f t="shared" si="46"/>
        <v>-32.2408662498054</v>
      </c>
      <c r="AS11" s="73" t="str">
        <f t="shared" si="14"/>
        <v>-0,000100699300699301</v>
      </c>
      <c r="AT11" s="73" t="str">
        <f t="shared" si="15"/>
        <v>0,000137571428571429i</v>
      </c>
      <c r="AU11" s="73">
        <f t="shared" si="16"/>
        <v>0.000137571428571429</v>
      </c>
      <c r="AV11" s="73">
        <f t="shared" si="17"/>
        <v>1.5707963267949</v>
      </c>
      <c r="AW11" s="73" t="str">
        <f t="shared" si="18"/>
        <v>1+0,00704340481185799i</v>
      </c>
      <c r="AX11" s="73">
        <f t="shared" si="19"/>
        <v>1.00002480446804</v>
      </c>
      <c r="AY11" s="73">
        <f t="shared" si="20"/>
        <v>0.00704328834194057</v>
      </c>
      <c r="AZ11" s="73" t="str">
        <f t="shared" si="21"/>
        <v>1+0,336734693877551i</v>
      </c>
      <c r="BA11" s="73">
        <f t="shared" si="22"/>
        <v>1.05517309199051</v>
      </c>
      <c r="BB11" s="73">
        <f t="shared" si="23"/>
        <v>0.324808648839101</v>
      </c>
      <c r="BC11" s="69" t="str">
        <f t="shared" si="24"/>
        <v>-0,24131489845431+0,733677980588706i</v>
      </c>
      <c r="BD11" s="73">
        <f t="shared" si="25"/>
        <v>-2.2437771414162</v>
      </c>
      <c r="BE11" s="76">
        <f t="shared" si="26"/>
        <v>108.20661403194</v>
      </c>
      <c r="BF11" s="69" t="str">
        <f t="shared" si="27"/>
        <v>18,3554954879609+36,6192708838442i</v>
      </c>
      <c r="BG11" s="75">
        <f t="shared" si="28"/>
        <v>32.247648354496</v>
      </c>
      <c r="BH11" s="76">
        <f t="shared" si="29"/>
        <v>63.3775742101906</v>
      </c>
      <c r="BI11" s="23" t="str">
        <f t="shared" si="47"/>
        <v>39,3755274169328+157,525376585408i</v>
      </c>
      <c r="BJ11" s="75">
        <f t="shared" si="30"/>
        <v>44.2102244562724</v>
      </c>
      <c r="BK11" s="76">
        <f t="shared" si="31"/>
        <v>75.965747782135</v>
      </c>
      <c r="BL11">
        <f t="shared" si="48"/>
        <v>32.247648354496</v>
      </c>
      <c r="BM11">
        <f t="shared" si="49"/>
        <v>63.3775742101906</v>
      </c>
      <c r="BO11" s="77" t="s">
        <v>460</v>
      </c>
      <c r="BP11" s="77"/>
    </row>
    <row r="12" customFormat="1" ht="15.75" spans="1:68">
      <c r="A12" t="s">
        <v>108</v>
      </c>
      <c r="B12" s="15">
        <f>VIN_max</f>
        <v>12.6</v>
      </c>
      <c r="C12" t="s">
        <v>7</v>
      </c>
      <c r="E12" t="s">
        <v>109</v>
      </c>
      <c r="N12" s="57" t="s">
        <v>449</v>
      </c>
      <c r="O12" s="64">
        <f>wz_ea/(2*PI())</f>
        <v>289.372623803446</v>
      </c>
      <c r="P12" s="59" t="str">
        <f t="shared" si="32"/>
        <v>75</v>
      </c>
      <c r="Q12" s="60" t="str">
        <f t="shared" si="33"/>
        <v>1+2,96969696969697i</v>
      </c>
      <c r="R12" s="60">
        <f t="shared" si="0"/>
        <v>3.13354433378999</v>
      </c>
      <c r="S12" s="60">
        <f t="shared" si="1"/>
        <v>1.2459876779558</v>
      </c>
      <c r="T12" s="60" t="str">
        <f t="shared" si="34"/>
        <v>1+0,028509090909091i</v>
      </c>
      <c r="U12" s="60">
        <f t="shared" si="2"/>
        <v>1.00040630159174</v>
      </c>
      <c r="V12" s="60">
        <f t="shared" si="3"/>
        <v>0.0285013709120361</v>
      </c>
      <c r="W12" s="61" t="str">
        <f t="shared" si="35"/>
        <v>1-0,0149545454545455i</v>
      </c>
      <c r="X12" s="60">
        <f t="shared" si="4"/>
        <v>1.00011181296381</v>
      </c>
      <c r="Y12" s="60">
        <f t="shared" si="5"/>
        <v>-0.0149534308004217</v>
      </c>
      <c r="Z12" s="61" t="str">
        <f t="shared" si="36"/>
        <v>0,999999316436609+0,00469276437847867i</v>
      </c>
      <c r="AA12" s="60">
        <f t="shared" si="6"/>
        <v>1.00001032740227</v>
      </c>
      <c r="AB12" s="60">
        <f t="shared" si="7"/>
        <v>0.00469273313858959</v>
      </c>
      <c r="AC12" s="62" t="str">
        <f t="shared" si="8"/>
        <v>7,84271635898538-22,6260218978834i</v>
      </c>
      <c r="AD12" s="63">
        <f t="shared" si="9"/>
        <v>27.584918209757</v>
      </c>
      <c r="AE12" s="64">
        <f t="shared" si="10"/>
        <v>-70.8824692859035</v>
      </c>
      <c r="AF12" s="32" t="str">
        <f t="shared" si="37"/>
        <v>249,914648392112</v>
      </c>
      <c r="AG12" s="32" t="str">
        <f t="shared" si="11"/>
        <v>1+1,90909090909091i</v>
      </c>
      <c r="AH12" s="32">
        <f t="shared" si="38"/>
        <v>2.15513992565995</v>
      </c>
      <c r="AI12" s="32">
        <f t="shared" si="39"/>
        <v>1.08828303177242</v>
      </c>
      <c r="AJ12" s="32" t="str">
        <f t="shared" si="12"/>
        <v>1+0,028509090909091i</v>
      </c>
      <c r="AK12" s="32">
        <f t="shared" si="40"/>
        <v>1.00040630159174</v>
      </c>
      <c r="AL12" s="32">
        <f t="shared" si="41"/>
        <v>0.0285013709120361</v>
      </c>
      <c r="AM12" s="32" t="str">
        <f t="shared" si="13"/>
        <v>1-0,00288504673915884i</v>
      </c>
      <c r="AN12" s="32">
        <f t="shared" si="42"/>
        <v>1.00000416173868</v>
      </c>
      <c r="AO12" s="32">
        <f t="shared" si="43"/>
        <v>-0.00288503873464175</v>
      </c>
      <c r="AP12" s="30" t="str">
        <f t="shared" si="44"/>
        <v>56,4438487754399-101,352614582182i</v>
      </c>
      <c r="AQ12" s="32">
        <f t="shared" si="45"/>
        <v>41.2898893183766</v>
      </c>
      <c r="AR12" s="31">
        <f t="shared" si="46"/>
        <v>-60.8863169158915</v>
      </c>
      <c r="AS12" s="61" t="str">
        <f t="shared" si="14"/>
        <v>-0,000100699300699301</v>
      </c>
      <c r="AT12" s="61" t="str">
        <f t="shared" si="15"/>
        <v>0,000408545454545455i</v>
      </c>
      <c r="AU12" s="61">
        <f t="shared" si="16"/>
        <v>0.000408545454545455</v>
      </c>
      <c r="AV12" s="61">
        <f t="shared" si="17"/>
        <v>1.5707963267949</v>
      </c>
      <c r="AW12" s="61" t="str">
        <f t="shared" si="18"/>
        <v>1+0,0209167779261237i</v>
      </c>
      <c r="AX12" s="61">
        <f t="shared" si="19"/>
        <v>1.00021873187759</v>
      </c>
      <c r="AY12" s="61">
        <f t="shared" si="20"/>
        <v>0.0209137282823189</v>
      </c>
      <c r="AZ12" s="61" t="str">
        <f t="shared" si="21"/>
        <v>1+i</v>
      </c>
      <c r="BA12" s="61">
        <f t="shared" si="22"/>
        <v>1.4142135623731</v>
      </c>
      <c r="BB12" s="61">
        <f t="shared" si="23"/>
        <v>0.785398163397448</v>
      </c>
      <c r="BC12" s="57" t="str">
        <f t="shared" si="24"/>
        <v>-0,241221332847155+0,251528062523352i</v>
      </c>
      <c r="BD12" s="61">
        <f t="shared" si="25"/>
        <v>-9.1558782824512</v>
      </c>
      <c r="BE12" s="64">
        <f t="shared" si="26"/>
        <v>133.80173163554</v>
      </c>
      <c r="BF12" s="57" t="str">
        <f t="shared" si="27"/>
        <v>3,79924895732891+7,43054240993214i</v>
      </c>
      <c r="BG12" s="63">
        <f t="shared" si="28"/>
        <v>18.4290399273058</v>
      </c>
      <c r="BH12" s="64">
        <f t="shared" si="29"/>
        <v>62.9192623496361</v>
      </c>
      <c r="BI12" s="23" t="str">
        <f t="shared" si="47"/>
        <v>11,8775663448974+38,6456247009054i</v>
      </c>
      <c r="BJ12" s="63">
        <f t="shared" si="30"/>
        <v>32.1340110359254</v>
      </c>
      <c r="BK12" s="64">
        <f t="shared" si="31"/>
        <v>72.9154147196482</v>
      </c>
      <c r="BL12">
        <f t="shared" si="48"/>
        <v>18.4290399273058</v>
      </c>
      <c r="BM12">
        <f t="shared" si="49"/>
        <v>62.9192623496361</v>
      </c>
      <c r="BO12" t="s">
        <v>461</v>
      </c>
      <c r="BP12">
        <f>SUM(BO19:BO559)/1000</f>
        <v>1.81970085860998</v>
      </c>
    </row>
    <row r="13" customFormat="1" ht="15.75" spans="1:68">
      <c r="A13" t="s">
        <v>110</v>
      </c>
      <c r="B13" s="15">
        <f>Fsw</f>
        <v>700000</v>
      </c>
      <c r="C13" t="s">
        <v>111</v>
      </c>
      <c r="E13" t="s">
        <v>112</v>
      </c>
      <c r="N13" s="69" t="s">
        <v>448</v>
      </c>
      <c r="O13" s="76">
        <f>wp1_ea/(2*PI())</f>
        <v>13834.4741635392</v>
      </c>
      <c r="P13" s="71" t="str">
        <f t="shared" si="32"/>
        <v>75</v>
      </c>
      <c r="Q13" s="72" t="str">
        <f t="shared" si="33"/>
        <v>1+141,976789168278i</v>
      </c>
      <c r="R13" s="72">
        <f t="shared" si="0"/>
        <v>141.980310827008</v>
      </c>
      <c r="S13" s="72">
        <f t="shared" si="1"/>
        <v>1.56375303845296</v>
      </c>
      <c r="T13" s="72" t="str">
        <f t="shared" si="34"/>
        <v>1+1,36297717601547i</v>
      </c>
      <c r="U13" s="72">
        <f t="shared" si="2"/>
        <v>1.69047531254943</v>
      </c>
      <c r="V13" s="72">
        <f t="shared" si="3"/>
        <v>0.937816894157202</v>
      </c>
      <c r="W13" s="73" t="str">
        <f t="shared" si="35"/>
        <v>1-0,714954545454545i</v>
      </c>
      <c r="X13" s="72">
        <f t="shared" si="4"/>
        <v>1.22929248027722</v>
      </c>
      <c r="Y13" s="72">
        <f t="shared" si="5"/>
        <v>-0.620692220592506</v>
      </c>
      <c r="Z13" s="73" t="str">
        <f t="shared" si="36"/>
        <v>0,998437610813211+0,224354075711522i</v>
      </c>
      <c r="AA13" s="72">
        <f t="shared" si="6"/>
        <v>1.02333396991147</v>
      </c>
      <c r="AB13" s="72">
        <f t="shared" si="7"/>
        <v>0.221033784644903</v>
      </c>
      <c r="AC13" s="74" t="str">
        <f t="shared" si="8"/>
        <v>0,110436398675371-1,06700383491311i</v>
      </c>
      <c r="AD13" s="75">
        <f t="shared" si="9"/>
        <v>0.609596152882531</v>
      </c>
      <c r="AE13" s="76">
        <f t="shared" si="10"/>
        <v>-84.0908469193485</v>
      </c>
      <c r="AF13" s="32" t="str">
        <f t="shared" si="37"/>
        <v>249,914648392112</v>
      </c>
      <c r="AG13" s="32" t="str">
        <f t="shared" si="11"/>
        <v>1+91,2707930367503i</v>
      </c>
      <c r="AH13" s="32">
        <f t="shared" si="38"/>
        <v>91.2762710760979</v>
      </c>
      <c r="AI13" s="32">
        <f t="shared" si="39"/>
        <v>1.55984035769106</v>
      </c>
      <c r="AJ13" s="32" t="str">
        <f t="shared" si="12"/>
        <v>1+1,36297717601547i</v>
      </c>
      <c r="AK13" s="32">
        <f t="shared" si="40"/>
        <v>1.69047531254943</v>
      </c>
      <c r="AL13" s="32">
        <f t="shared" si="41"/>
        <v>0.937816894157202</v>
      </c>
      <c r="AM13" s="32" t="str">
        <f t="shared" si="13"/>
        <v>1-0,137929787721062i</v>
      </c>
      <c r="AN13" s="32">
        <f t="shared" si="42"/>
        <v>1.0094674964261</v>
      </c>
      <c r="AO13" s="32">
        <f t="shared" si="43"/>
        <v>-0.137064950825049</v>
      </c>
      <c r="AP13" s="30" t="str">
        <f t="shared" si="44"/>
        <v>3,38961750830194-3,2157907646995i</v>
      </c>
      <c r="AQ13" s="32">
        <f t="shared" si="45"/>
        <v>13.3906999100786</v>
      </c>
      <c r="AR13" s="31">
        <f t="shared" si="46"/>
        <v>-43.4925624200431</v>
      </c>
      <c r="AS13" s="73" t="str">
        <f t="shared" si="14"/>
        <v>-0,000100699300699301</v>
      </c>
      <c r="AT13" s="73" t="str">
        <f t="shared" si="15"/>
        <v>0,0195319497098646i</v>
      </c>
      <c r="AU13" s="73">
        <f t="shared" si="16"/>
        <v>0.0195319497098646</v>
      </c>
      <c r="AV13" s="73">
        <f t="shared" si="17"/>
        <v>1.5707963267949</v>
      </c>
      <c r="AW13" s="73" t="str">
        <f t="shared" si="18"/>
        <v>1+i</v>
      </c>
      <c r="AX13" s="73">
        <f t="shared" si="19"/>
        <v>1.4142135623731</v>
      </c>
      <c r="AY13" s="73">
        <f t="shared" si="20"/>
        <v>0.785398163397448</v>
      </c>
      <c r="AZ13" s="73" t="str">
        <f t="shared" si="21"/>
        <v>1+47,8085106382978i</v>
      </c>
      <c r="BA13" s="73">
        <f t="shared" si="22"/>
        <v>47.8189678835944</v>
      </c>
      <c r="BB13" s="73">
        <f t="shared" si="23"/>
        <v>1.54988259851258</v>
      </c>
      <c r="BC13" s="69" t="str">
        <f t="shared" si="24"/>
        <v>-0,120663434989078+0,125819054484065i</v>
      </c>
      <c r="BD13" s="73">
        <f t="shared" si="25"/>
        <v>-15.1726788493367</v>
      </c>
      <c r="BE13" s="76">
        <f t="shared" si="26"/>
        <v>133.80173163554</v>
      </c>
      <c r="BF13" s="69" t="str">
        <f t="shared" si="27"/>
        <v>0,120923778427645+0,142643351129095i</v>
      </c>
      <c r="BG13" s="75">
        <f t="shared" si="28"/>
        <v>-14.5630826964542</v>
      </c>
      <c r="BH13" s="76">
        <f t="shared" si="29"/>
        <v>49.7108847161915</v>
      </c>
      <c r="BI13" s="23" t="str">
        <f t="shared" si="47"/>
        <v>-0,0043951384177523+0,814506829831978i</v>
      </c>
      <c r="BJ13" s="75">
        <f t="shared" si="30"/>
        <v>-1.78197893925805</v>
      </c>
      <c r="BK13" s="76">
        <f t="shared" si="31"/>
        <v>90.3091692154968</v>
      </c>
      <c r="BL13">
        <f t="shared" si="48"/>
        <v>-14.5630826964542</v>
      </c>
      <c r="BM13">
        <f t="shared" si="49"/>
        <v>49.7108847161915</v>
      </c>
    </row>
    <row r="14" customFormat="1" spans="1:68">
      <c r="B14" s="13"/>
      <c r="O14" s="18"/>
      <c r="BO14" t="s">
        <v>462</v>
      </c>
      <c r="BP14" s="78">
        <f>SUM(BP19:BP559)</f>
        <v>79.6373888759647</v>
      </c>
    </row>
    <row r="15" ht="15.75" spans="1:68">
      <c r="A15" s="79" t="s">
        <v>463</v>
      </c>
      <c r="O15" s="18" t="s">
        <v>464</v>
      </c>
      <c r="P15">
        <f>B16</f>
        <v>4</v>
      </c>
      <c r="Q15" t="s">
        <v>7</v>
      </c>
      <c r="BO15" s="80"/>
      <c r="BP15" s="80"/>
    </row>
    <row r="16" ht="15.75" spans="1:68">
      <c r="A16" t="s">
        <v>431</v>
      </c>
      <c r="B16">
        <v>4</v>
      </c>
      <c r="C16" t="s">
        <v>7</v>
      </c>
      <c r="E16" t="s">
        <v>465</v>
      </c>
      <c r="O16" s="81"/>
      <c r="P16" s="25" t="s">
        <v>466</v>
      </c>
      <c r="Q16" s="25"/>
      <c r="R16" s="25"/>
      <c r="S16" s="25"/>
      <c r="T16" s="25"/>
      <c r="U16" s="25"/>
      <c r="V16" s="25"/>
      <c r="W16" s="25"/>
      <c r="X16" s="25"/>
      <c r="Y16" s="25"/>
      <c r="Z16" s="25"/>
      <c r="AA16" s="25"/>
      <c r="AB16" s="25"/>
      <c r="AC16" s="25"/>
      <c r="AD16" s="25"/>
      <c r="AE16" s="26"/>
      <c r="AF16" s="27" t="s">
        <v>467</v>
      </c>
      <c r="AG16" s="25"/>
      <c r="AH16" s="25"/>
      <c r="AI16" s="25"/>
      <c r="AJ16" s="25"/>
      <c r="AK16" s="25"/>
      <c r="AL16" s="25"/>
      <c r="AM16" s="25"/>
      <c r="AN16" s="25"/>
      <c r="AO16" s="25"/>
      <c r="AP16" s="25"/>
      <c r="AQ16" s="25"/>
      <c r="AR16" s="26"/>
      <c r="AS16" s="27" t="s">
        <v>438</v>
      </c>
      <c r="AT16" s="25"/>
      <c r="AU16" s="25"/>
      <c r="AV16" s="25"/>
      <c r="AW16" s="25"/>
      <c r="AX16" s="25"/>
      <c r="AY16" s="25"/>
      <c r="AZ16" s="25"/>
      <c r="BA16" s="25"/>
      <c r="BB16" s="25"/>
      <c r="BC16" s="25"/>
      <c r="BD16" s="25"/>
      <c r="BE16" s="26"/>
      <c r="BF16" s="27" t="s">
        <v>439</v>
      </c>
      <c r="BG16" s="25"/>
      <c r="BH16" s="26"/>
      <c r="BI16" s="27" t="s">
        <v>440</v>
      </c>
      <c r="BJ16" s="25"/>
      <c r="BK16" s="26"/>
      <c r="BL16" s="27" t="s">
        <v>441</v>
      </c>
      <c r="BM16" s="26"/>
      <c r="BO16" s="80"/>
      <c r="BP16" s="80"/>
    </row>
    <row r="17" spans="1:68">
      <c r="A17" t="s">
        <v>468</v>
      </c>
      <c r="B17">
        <f>IOUT</f>
        <v>2</v>
      </c>
      <c r="C17" t="s">
        <v>12</v>
      </c>
      <c r="E17" t="s">
        <v>469</v>
      </c>
      <c r="O17" s="82"/>
      <c r="P17" s="32"/>
      <c r="Q17" s="33" t="s">
        <v>442</v>
      </c>
      <c r="R17" s="33"/>
      <c r="S17" s="33"/>
      <c r="T17" s="34" t="s">
        <v>443</v>
      </c>
      <c r="U17" s="34"/>
      <c r="V17" s="34"/>
      <c r="W17" s="34" t="s">
        <v>446</v>
      </c>
      <c r="X17" s="34"/>
      <c r="Y17" s="34"/>
      <c r="Z17" s="34" t="s">
        <v>444</v>
      </c>
      <c r="AA17" s="34"/>
      <c r="AB17" s="34"/>
      <c r="AC17" s="35" t="s">
        <v>445</v>
      </c>
      <c r="AD17" s="34"/>
      <c r="AE17" s="36"/>
      <c r="AF17" s="34"/>
      <c r="AG17" s="33" t="s">
        <v>442</v>
      </c>
      <c r="AH17" s="33"/>
      <c r="AI17" s="33"/>
      <c r="AJ17" s="37" t="s">
        <v>443</v>
      </c>
      <c r="AK17" s="37"/>
      <c r="AL17" s="37"/>
      <c r="AM17" s="34" t="s">
        <v>446</v>
      </c>
      <c r="AN17" s="34"/>
      <c r="AO17" s="34"/>
      <c r="AP17" s="38" t="s">
        <v>445</v>
      </c>
      <c r="AQ17" s="37"/>
      <c r="AR17" s="39"/>
      <c r="AS17" s="32"/>
      <c r="AT17" s="34" t="s">
        <v>447</v>
      </c>
      <c r="AU17" s="34"/>
      <c r="AV17" s="34"/>
      <c r="AW17" s="34" t="s">
        <v>448</v>
      </c>
      <c r="AX17" s="34"/>
      <c r="AY17" s="34"/>
      <c r="AZ17" s="34" t="s">
        <v>449</v>
      </c>
      <c r="BA17" s="34"/>
      <c r="BB17" s="34"/>
      <c r="BC17" s="35" t="s">
        <v>445</v>
      </c>
      <c r="BD17" s="34"/>
      <c r="BE17" s="36"/>
      <c r="BF17" s="35" t="s">
        <v>445</v>
      </c>
      <c r="BG17" s="34"/>
      <c r="BH17" s="36"/>
      <c r="BI17" s="35" t="s">
        <v>445</v>
      </c>
      <c r="BJ17" s="34"/>
      <c r="BK17" s="36"/>
      <c r="BL17" s="32"/>
      <c r="BM17" s="31"/>
      <c r="BO17" s="80"/>
      <c r="BP17" s="80"/>
    </row>
    <row r="18" ht="15.75" spans="1:68">
      <c r="A18" t="s">
        <v>470</v>
      </c>
      <c r="B18">
        <f>VOUT/(VOUT+VIN_var)</f>
        <v>0.714285714285714</v>
      </c>
      <c r="N18" s="7"/>
      <c r="O18" s="83" t="s">
        <v>471</v>
      </c>
      <c r="P18" s="72" t="s">
        <v>450</v>
      </c>
      <c r="Q18" s="73" t="s">
        <v>451</v>
      </c>
      <c r="R18" s="72" t="s">
        <v>452</v>
      </c>
      <c r="S18" s="72" t="s">
        <v>453</v>
      </c>
      <c r="T18" s="72" t="s">
        <v>451</v>
      </c>
      <c r="U18" s="72" t="s">
        <v>452</v>
      </c>
      <c r="V18" s="72" t="s">
        <v>453</v>
      </c>
      <c r="W18" s="49" t="s">
        <v>451</v>
      </c>
      <c r="X18" s="72" t="s">
        <v>452</v>
      </c>
      <c r="Y18" s="72" t="s">
        <v>453</v>
      </c>
      <c r="Z18" s="49" t="s">
        <v>451</v>
      </c>
      <c r="AA18" s="49" t="s">
        <v>452</v>
      </c>
      <c r="AB18" s="49" t="s">
        <v>453</v>
      </c>
      <c r="AC18" s="48" t="s">
        <v>454</v>
      </c>
      <c r="AD18" s="49" t="s">
        <v>452</v>
      </c>
      <c r="AE18" s="50" t="s">
        <v>453</v>
      </c>
      <c r="AF18" s="84" t="s">
        <v>450</v>
      </c>
      <c r="AG18" s="47" t="s">
        <v>451</v>
      </c>
      <c r="AH18" s="47" t="s">
        <v>455</v>
      </c>
      <c r="AI18" s="47" t="s">
        <v>453</v>
      </c>
      <c r="AJ18" s="47" t="s">
        <v>451</v>
      </c>
      <c r="AK18" s="47" t="s">
        <v>455</v>
      </c>
      <c r="AL18" s="47" t="s">
        <v>453</v>
      </c>
      <c r="AM18" s="47" t="s">
        <v>451</v>
      </c>
      <c r="AN18" s="47" t="s">
        <v>455</v>
      </c>
      <c r="AO18" s="47" t="s">
        <v>453</v>
      </c>
      <c r="AP18" s="48" t="s">
        <v>454</v>
      </c>
      <c r="AQ18" s="49" t="s">
        <v>452</v>
      </c>
      <c r="AR18" s="50" t="s">
        <v>453</v>
      </c>
      <c r="AS18" s="72" t="s">
        <v>456</v>
      </c>
      <c r="AT18" s="49" t="s">
        <v>451</v>
      </c>
      <c r="AU18" s="49" t="s">
        <v>455</v>
      </c>
      <c r="AV18" s="49" t="s">
        <v>453</v>
      </c>
      <c r="AW18" s="49" t="s">
        <v>451</v>
      </c>
      <c r="AX18" s="49" t="s">
        <v>455</v>
      </c>
      <c r="AY18" s="49" t="s">
        <v>453</v>
      </c>
      <c r="AZ18" s="49" t="s">
        <v>451</v>
      </c>
      <c r="BA18" s="49" t="s">
        <v>455</v>
      </c>
      <c r="BB18" s="49" t="s">
        <v>453</v>
      </c>
      <c r="BC18" s="48" t="s">
        <v>454</v>
      </c>
      <c r="BD18" s="49" t="s">
        <v>452</v>
      </c>
      <c r="BE18" s="50" t="s">
        <v>453</v>
      </c>
      <c r="BF18" s="48" t="s">
        <v>454</v>
      </c>
      <c r="BG18" s="49" t="s">
        <v>452</v>
      </c>
      <c r="BH18" s="50" t="s">
        <v>453</v>
      </c>
      <c r="BI18" s="48" t="s">
        <v>454</v>
      </c>
      <c r="BJ18" s="49" t="s">
        <v>452</v>
      </c>
      <c r="BK18" s="50" t="s">
        <v>453</v>
      </c>
      <c r="BL18" s="43" t="s">
        <v>472</v>
      </c>
      <c r="BM18" s="45" t="s">
        <v>473</v>
      </c>
      <c r="BO18" s="80" t="s">
        <v>474</v>
      </c>
      <c r="BP18" s="80" t="s">
        <v>475</v>
      </c>
    </row>
    <row r="19" spans="1:68">
      <c r="A19" t="s">
        <v>115</v>
      </c>
      <c r="B19" s="85">
        <f>VOUT</f>
        <v>10</v>
      </c>
      <c r="C19" t="s">
        <v>7</v>
      </c>
      <c r="E19" t="s">
        <v>476</v>
      </c>
      <c r="N19" s="7">
        <v>1</v>
      </c>
      <c r="O19" s="18">
        <f>10^(1+(N19/100))</f>
        <v>10.2329299228075</v>
      </c>
      <c r="P19" s="86" t="str">
        <f t="shared" ref="P19:P82" si="50">COMPLEX(Adc,0)</f>
        <v>75</v>
      </c>
      <c r="Q19" s="4" t="str">
        <f t="shared" ref="Q19:Q82" si="51">IMSUM(COMPLEX(1,0),IMDIV(COMPLEX(0,2*PI()*O19),COMPLEX(wp_lf,0)))</f>
        <v>1+0,105015811735958i</v>
      </c>
      <c r="R19" s="4">
        <f>IMABS(Q19)</f>
        <v>1.00549904063334</v>
      </c>
      <c r="S19" s="4">
        <f>IMARGUMENT(Q19)</f>
        <v>0.104632296919374</v>
      </c>
      <c r="T19" s="4" t="str">
        <f t="shared" ref="T19:T82" si="52">IMSUM(COMPLEX(1,0),IMDIV(COMPLEX(0,2*PI()*O19),COMPLEX(wz_esr,0)))</f>
        <v>1+0,0010081517926652i</v>
      </c>
      <c r="U19" s="4">
        <f>IMABS(T19)</f>
        <v>1.00000050818489</v>
      </c>
      <c r="V19" s="4">
        <f>IMARGUMENT(T19)</f>
        <v>0.00100815145111365</v>
      </c>
      <c r="W19" t="str">
        <f t="shared" ref="W19:W82" si="53">IMSUB(COMPLEX(1,0),IMDIV(COMPLEX(0,2*PI()*O19),COMPLEX(wz_rhp,0)))</f>
        <v>1-0,000528829623384645i</v>
      </c>
      <c r="X19" s="4">
        <f>IMABS(W19)</f>
        <v>1.00000013983038</v>
      </c>
      <c r="Y19" s="4">
        <f>IMARGUMENT(W19)</f>
        <v>-0.00052882957408702</v>
      </c>
      <c r="Z19" t="str">
        <f t="shared" ref="Z19:Z82" si="54">IMSUM(COMPLEX(1,0),IMDIV(COMPLEX(0,2*PI()*O19),COMPLEX(Q*(wsl/2),0)),IMDIV(IMPOWER(COMPLEX(0,2*PI()*O19),2),IMPOWER(COMPLEX(wsl/2,0),2)))</f>
        <v>0,999999999145201+0,000165947726492044i</v>
      </c>
      <c r="AA19" s="4">
        <f>IMABS(Z19)</f>
        <v>1.00000001291452</v>
      </c>
      <c r="AB19" s="4">
        <f>IMARGUMENT(Z19)</f>
        <v>0.000165947725110571</v>
      </c>
      <c r="AC19" s="67" t="str">
        <f>(IMDIV(IMPRODUCT(P19,T19,W19),IMPRODUCT(Q19,Z19)))</f>
        <v>74,1843829770469-7,76703012052995i</v>
      </c>
      <c r="AD19" s="68">
        <f>20*LOG(IMABS(AC19))</f>
        <v>37.4535975729689</v>
      </c>
      <c r="AE19" s="31">
        <f>(180/PI())*IMARGUMENT(AC19)</f>
        <v>-5.97703399792655</v>
      </c>
      <c r="AF19" s="32" t="str">
        <f>COMPLEX($B$68,0)</f>
        <v>249,914648392112</v>
      </c>
      <c r="AG19" s="32" t="str">
        <f t="shared" ref="AG19:AG82" si="55">IMSUM(COMPLEX(1,0),IMDIV(COMPLEX(0,2*PI()*O19),COMPLEX(wp_lf_DCM,0)))</f>
        <v>1+0,0675101646874015i</v>
      </c>
      <c r="AH19" s="32">
        <f>IMABS(AG19)</f>
        <v>1.002276220578</v>
      </c>
      <c r="AI19" s="32">
        <f>IMARGUMENT(AG19)</f>
        <v>0.0674078822959286</v>
      </c>
      <c r="AJ19" s="32" t="str">
        <f t="shared" ref="AJ19:AJ82" si="56">IMSUM(COMPLEX(1,0),IMDIV(COMPLEX(0,2*PI()*O19),COMPLEX(wz1_dcm,0)))</f>
        <v>1+0,0010081517926652i</v>
      </c>
      <c r="AK19" s="32">
        <f>IMABS(AJ19)</f>
        <v>1.00000050818489</v>
      </c>
      <c r="AL19" s="32">
        <f>IMARGUMENT(AJ19)</f>
        <v>0.00100815145111365</v>
      </c>
      <c r="AM19" s="32" t="str">
        <f t="shared" ref="AM19:AM82" si="57">IMSUB(COMPLEX(1,0),IMDIV(COMPLEX(0,2*PI()*O19),COMPLEX(wz2_dcm,0)))</f>
        <v>1-0,000102022370733624i</v>
      </c>
      <c r="AN19" s="32">
        <f>IMABS(AM19)</f>
        <v>1.00000000520428</v>
      </c>
      <c r="AO19" s="32">
        <f>IMARGUMENT(AM19)</f>
        <v>-0.000102022370379655</v>
      </c>
      <c r="AP19" s="30" t="str">
        <f>(IMDIV(IMPRODUCT(AF19,AJ19,AM19),IMPRODUCT(AG19)))</f>
        <v>248,796043706324-16,5698068683081i</v>
      </c>
      <c r="AQ19" s="32">
        <f>20*LOG(IMABS(AP19))</f>
        <v>47.9360901745328</v>
      </c>
      <c r="AR19" s="31">
        <f>(180/PI())*IMARGUMENT(AP19)</f>
        <v>-3.8102697894512</v>
      </c>
      <c r="AS19" t="str">
        <f t="shared" ref="AS19:AS82" si="58">COMPLEX(Adc_ea,0)</f>
        <v>-0,000100699300699301</v>
      </c>
      <c r="AT19" t="str">
        <f t="shared" ref="AT19:AT82" si="59">COMPLEX(0,2*PI()*O19*wp0_ea)</f>
        <v>0,0000144471752431039i</v>
      </c>
      <c r="AU19">
        <f>IMABS(AT19)</f>
        <v>1.44471752431039e-5</v>
      </c>
      <c r="AV19">
        <f>IMARGUMENT(AT19)</f>
        <v>1.5707963267949</v>
      </c>
      <c r="AW19" t="str">
        <f t="shared" ref="AW19:AW82" si="60">IMSUM(COMPLEX(1,0),IMDIV(COMPLEX(0,2*PI()*O19),COMPLEX(wp1_ea,0)))</f>
        <v>1+0,000739668873702219i</v>
      </c>
      <c r="AX19">
        <f>IMABS(AW19)</f>
        <v>1.00000027355498</v>
      </c>
      <c r="AY19">
        <f>IMARGUMENT(AW19)</f>
        <v>0.00073966873880884</v>
      </c>
      <c r="AZ19" t="str">
        <f t="shared" ref="AZ19:AZ82" si="61">IMSUM(COMPLEX(1,0),IMDIV(COMPLEX(0,2*PI()*O19),COMPLEX(wz_ea,0)))</f>
        <v>1+0,0353624672172103i</v>
      </c>
      <c r="BA19">
        <f>IMABS(AZ19)</f>
        <v>1.00062505669591</v>
      </c>
      <c r="BB19">
        <f>IMARGUMENT(AZ19)</f>
        <v>0.0353477379637583</v>
      </c>
      <c r="BC19" s="30" t="str">
        <f>IMPRODUCT(AS19,IMDIV(AZ19,IMPRODUCT(AT19,AW19)))</f>
        <v>-0,241326737945875+6,97035080233138i</v>
      </c>
      <c r="BD19" s="32">
        <f>20*LOG(IMABS(BC19))</f>
        <v>16.8702953784052</v>
      </c>
      <c r="BE19" s="31">
        <f>(180/PI())*IMARGUMENT(BC19)</f>
        <v>91.9828963036862</v>
      </c>
      <c r="BF19" s="30" t="str">
        <f>IMPRODUCT(AC19,BC19)</f>
        <v>36,2362494819897+518,965565447032i</v>
      </c>
      <c r="BG19" s="68">
        <f>20*LOG(IMABS(BF19))</f>
        <v>54.323892951374</v>
      </c>
      <c r="BH19" s="31">
        <f>(180/PI())*IMARGUMENT(BF19)</f>
        <v>86.0058623057596</v>
      </c>
      <c r="BI19" s="30" t="str">
        <f>IMPRODUCT(AP19,BC19)</f>
        <v>55,4562289575008+1738,19444030517i</v>
      </c>
      <c r="BJ19" s="68">
        <f>20*LOG(IMABS(BI19))</f>
        <v>64.806385552938</v>
      </c>
      <c r="BK19" s="31">
        <f>(180/PI())*IMARGUMENT(BI19)</f>
        <v>88.172626514235</v>
      </c>
      <c r="BL19" s="32">
        <f>IF($B$31=0,BJ19,BG19)</f>
        <v>54.323892951374</v>
      </c>
      <c r="BM19" s="31">
        <f>IF($B$31=0,BK19,BH19)</f>
        <v>86.0058623057596</v>
      </c>
      <c r="BO19">
        <f>SUM((BL20&lt;0)*(BL19&gt;0))*O19</f>
        <v>0</v>
      </c>
      <c r="BP19">
        <f>IF(BO19&gt;0,BM19,0)</f>
        <v>0</v>
      </c>
    </row>
    <row r="20" spans="1:68">
      <c r="A20" t="s">
        <v>117</v>
      </c>
      <c r="B20" s="85">
        <f>IOUT</f>
        <v>2</v>
      </c>
      <c r="C20" t="s">
        <v>12</v>
      </c>
      <c r="E20" t="s">
        <v>118</v>
      </c>
      <c r="N20" s="7">
        <v>2</v>
      </c>
      <c r="O20" s="18">
        <f t="shared" ref="O20:O83" si="62">10^(1+(N20/100))</f>
        <v>10.471285480509</v>
      </c>
      <c r="P20" s="86" t="str">
        <f t="shared" si="50"/>
        <v>75</v>
      </c>
      <c r="Q20" s="4" t="str">
        <f t="shared" si="51"/>
        <v>1+0,107461944228081i</v>
      </c>
      <c r="R20" s="4">
        <f t="shared" ref="R20:R83" si="63">IMABS(Q20)</f>
        <v>1.00575746055263</v>
      </c>
      <c r="S20" s="4">
        <f t="shared" ref="S20:S83" si="64">IMARGUMENT(Q20)</f>
        <v>0.107051127644442</v>
      </c>
      <c r="T20" s="4" t="str">
        <f t="shared" si="52"/>
        <v>1+0,00103163466458958i</v>
      </c>
      <c r="U20" s="4">
        <f t="shared" ref="U20:U83" si="65">IMABS(T20)</f>
        <v>1.0000005321349</v>
      </c>
      <c r="V20" s="4">
        <f t="shared" ref="V20:V83" si="66">IMARGUMENT(T20)</f>
        <v>0.00103163429861051</v>
      </c>
      <c r="W20" t="str">
        <f t="shared" si="53"/>
        <v>1-0,000541147647719981i</v>
      </c>
      <c r="X20" s="4">
        <f t="shared" ref="X20:X83" si="67">IMABS(W20)</f>
        <v>1.00000014642038</v>
      </c>
      <c r="Y20" s="4">
        <f t="shared" ref="Y20:Y83" si="68">IMARGUMENT(W20)</f>
        <v>-0.000541147594896624</v>
      </c>
      <c r="Z20" t="str">
        <f t="shared" si="54"/>
        <v>0,999999999104916+0,000169813145604233i</v>
      </c>
      <c r="AA20" s="4">
        <f t="shared" ref="AA20:AA83" si="69">IMABS(Z20)</f>
        <v>1.00000001352317</v>
      </c>
      <c r="AB20" s="4">
        <f t="shared" ref="AB20:AB83" si="70">IMARGUMENT(Z20)</f>
        <v>0.000169813144123958</v>
      </c>
      <c r="AC20" s="67" t="str">
        <f t="shared" ref="AC20:AC83" si="71">(IMDIV(IMPRODUCT(P20,T20,W20),IMPRODUCT(Q20,Z20)))</f>
        <v>74,1463829578132-7,94386393757505i</v>
      </c>
      <c r="AD20" s="68">
        <f t="shared" ref="AD20:AD83" si="72">20*LOG(IMABS(AC20))</f>
        <v>37.451365788543</v>
      </c>
      <c r="AE20" s="31">
        <f t="shared" ref="AE20:AE83" si="73">(180/PI())*IMARGUMENT(AC20)</f>
        <v>-6.11520456457684</v>
      </c>
      <c r="AF20" s="32" t="str">
        <f t="shared" ref="AF20:AF83" si="74">COMPLEX($B$68,0)</f>
        <v>249,914648392112</v>
      </c>
      <c r="AG20" s="32" t="str">
        <f t="shared" si="55"/>
        <v>1+0,0690826784323379i</v>
      </c>
      <c r="AH20" s="32">
        <f t="shared" ref="AH20:AH83" si="75">IMABS(AG20)</f>
        <v>1.00238336800816</v>
      </c>
      <c r="AI20" s="32">
        <f t="shared" ref="AI20:AI83" si="76">IMARGUMENT(AG20)</f>
        <v>0.0689730949445636</v>
      </c>
      <c r="AJ20" s="32" t="str">
        <f t="shared" si="56"/>
        <v>1+0,00103163466458958i</v>
      </c>
      <c r="AK20" s="32">
        <f t="shared" ref="AK20:AK83" si="77">IMABS(AJ20)</f>
        <v>1.0000005321349</v>
      </c>
      <c r="AL20" s="32">
        <f t="shared" ref="AL20:AL83" si="78">IMARGUMENT(AJ20)</f>
        <v>0.00103163429861051</v>
      </c>
      <c r="AM20" s="32" t="str">
        <f t="shared" si="57"/>
        <v>1-0,000104398777027587i</v>
      </c>
      <c r="AN20" s="32">
        <f t="shared" ref="AN20:AN83" si="79">IMABS(AM20)</f>
        <v>1.00000000544955</v>
      </c>
      <c r="AO20" s="32">
        <f t="shared" ref="AO20:AO83" si="80">IMARGUMENT(AM20)</f>
        <v>-0.000104398776648303</v>
      </c>
      <c r="AP20" s="30" t="str">
        <f t="shared" ref="AP20:AP83" si="81">(IMDIV(IMPRODUCT(AF20,AJ20,AM20),IMPRODUCT(AG20)))</f>
        <v>248,743575889911-16,952142634496i</v>
      </c>
      <c r="AQ20" s="32">
        <f t="shared" ref="AQ20:AQ83" si="82">20*LOG(IMABS(AP20))</f>
        <v>47.9351618771675</v>
      </c>
      <c r="AR20" s="31">
        <f t="shared" ref="AR20:AR83" si="83">(180/PI())*IMARGUMENT(AP20)</f>
        <v>-3.89874055825557</v>
      </c>
      <c r="AS20" t="str">
        <f t="shared" si="58"/>
        <v>-0,000100699300699301</v>
      </c>
      <c r="AT20" t="str">
        <f t="shared" si="59"/>
        <v>0,0000147836931845203i</v>
      </c>
      <c r="AU20">
        <f t="shared" ref="AU20:AU83" si="84">IMABS(AT20)</f>
        <v>1.47836931845203e-5</v>
      </c>
      <c r="AV20">
        <f t="shared" ref="AV20:AV83" si="85">IMARGUMENT(AT20)</f>
        <v>1.5707963267949</v>
      </c>
      <c r="AW20" t="str">
        <f t="shared" si="60"/>
        <v>1+0,000756897975067682i</v>
      </c>
      <c r="AX20">
        <f t="shared" ref="AX20:AX83" si="86">IMABS(AW20)</f>
        <v>1.00000028644723</v>
      </c>
      <c r="AY20">
        <f t="shared" ref="AY20:AY83" si="87">IMARGUMENT(AW20)</f>
        <v>0.000756897830526825</v>
      </c>
      <c r="AZ20" t="str">
        <f t="shared" si="61"/>
        <v>1+0,0361861648931294i</v>
      </c>
      <c r="BA20">
        <f t="shared" ref="BA20:BA83" si="88">IMABS(AZ20)</f>
        <v>1.00065450507639</v>
      </c>
      <c r="BB20">
        <f t="shared" ref="BB20:BB83" si="89">IMARGUMENT(AZ20)</f>
        <v>0.0361703827711888</v>
      </c>
      <c r="BC20" s="30" t="str">
        <f t="shared" ref="BC20:BC83" si="90">IMPRODUCT(AS20,IMDIV(AZ20,IMPRODUCT(AT20,AW20)))</f>
        <v>-0,241326731723389+6,81169446819427i</v>
      </c>
      <c r="BD20" s="32">
        <f t="shared" ref="BD20:BD83" si="91">20*LOG(IMABS(BC20))</f>
        <v>16.6705508882654</v>
      </c>
      <c r="BE20" s="31">
        <f t="shared" ref="BE20:BE83" si="92">(180/PI())*IMARGUMENT(BC20)</f>
        <v>92.02904322495</v>
      </c>
      <c r="BF20" s="30" t="str">
        <f t="shared" ref="BF20:BF83" si="93">IMPRODUCT(AC20,BC20)</f>
        <v>36,2176697713481+506,97957335166i</v>
      </c>
      <c r="BG20" s="68">
        <f t="shared" ref="BG20:BG83" si="94">20*LOG(IMABS(BF20))</f>
        <v>54.1219166768084</v>
      </c>
      <c r="BH20" s="31">
        <f t="shared" ref="BH20:BH83" si="95">(180/PI())*IMARGUMENT(BF20)</f>
        <v>85.9138386603732</v>
      </c>
      <c r="BI20" s="30" t="str">
        <f t="shared" ref="BI20:BI49" si="96">IMPRODUCT(AP20,BC20)</f>
        <v>55,4443420007356+1698,45624506586i</v>
      </c>
      <c r="BJ20" s="68">
        <f t="shared" ref="BJ20:BJ83" si="97">20*LOG(IMABS(BI20))</f>
        <v>64.605712765433</v>
      </c>
      <c r="BK20" s="31">
        <f t="shared" ref="BK20:BK49" si="98">(180/PI())*IMARGUMENT(BI20)</f>
        <v>88.1303026666945</v>
      </c>
      <c r="BL20" s="32">
        <f t="shared" ref="BL20:BL83" si="99">IF($B$31=0,BJ20,BG20)</f>
        <v>54.1219166768084</v>
      </c>
      <c r="BM20" s="31">
        <f t="shared" ref="BM20:BM83" si="100">IF($B$31=0,BK20,BH20)</f>
        <v>85.9138386603732</v>
      </c>
      <c r="BO20">
        <f t="shared" ref="BO20:BO83" si="101">SUM((BL21&lt;0)*(BL20&gt;0))*O20</f>
        <v>0</v>
      </c>
      <c r="BP20">
        <f t="shared" ref="BP20:BP83" si="102">IF(BO20&gt;0,BM20,0)</f>
        <v>0</v>
      </c>
    </row>
    <row r="21" customFormat="1" spans="1:68">
      <c r="N21" s="7">
        <v>3</v>
      </c>
      <c r="O21" s="18">
        <f t="shared" si="62"/>
        <v>10.7151930523761</v>
      </c>
      <c r="P21" s="86" t="str">
        <f t="shared" si="50"/>
        <v>75</v>
      </c>
      <c r="Q21" s="4" t="str">
        <f t="shared" si="51"/>
        <v>1+0,109965054465461i</v>
      </c>
      <c r="R21" s="4">
        <f t="shared" si="63"/>
        <v>1.00602798828044</v>
      </c>
      <c r="S21" s="4">
        <f t="shared" si="64"/>
        <v>0.109524998894041</v>
      </c>
      <c r="T21" s="4" t="str">
        <f t="shared" si="52"/>
        <v>1+0,00105566452286843i</v>
      </c>
      <c r="U21" s="4">
        <f t="shared" si="65"/>
        <v>1.00000055721364</v>
      </c>
      <c r="V21" s="4">
        <f t="shared" si="66"/>
        <v>0.0010556641307148</v>
      </c>
      <c r="W21" t="str">
        <f t="shared" si="53"/>
        <v>1-0,000553752595701072i</v>
      </c>
      <c r="X21" s="4">
        <f t="shared" si="67"/>
        <v>1.00000015332096</v>
      </c>
      <c r="Y21" s="4">
        <f t="shared" si="68"/>
        <v>-0.000553752539099826</v>
      </c>
      <c r="Z21" t="str">
        <f t="shared" si="54"/>
        <v>0,999999999062732+0,000173768601893963i</v>
      </c>
      <c r="AA21" s="4">
        <f t="shared" si="69"/>
        <v>1.0000000141605</v>
      </c>
      <c r="AB21" s="4">
        <f t="shared" si="70"/>
        <v>0.000173768600307819</v>
      </c>
      <c r="AC21" s="67" t="str">
        <f t="shared" si="71"/>
        <v>74,1066338842293-8,1245292902866i</v>
      </c>
      <c r="AD21" s="68">
        <f t="shared" si="72"/>
        <v>37.4490300522285</v>
      </c>
      <c r="AE21" s="31">
        <f t="shared" si="73"/>
        <v>-6.25651897932483</v>
      </c>
      <c r="AF21" s="32" t="str">
        <f t="shared" si="74"/>
        <v>249,914648392112</v>
      </c>
      <c r="AG21" s="32" t="str">
        <f t="shared" si="55"/>
        <v>1+0,0706918207277964i</v>
      </c>
      <c r="AH21" s="32">
        <f t="shared" si="75"/>
        <v>1.00249555286685</v>
      </c>
      <c r="AI21" s="32">
        <f t="shared" si="76"/>
        <v>0.0705744156861609</v>
      </c>
      <c r="AJ21" s="32" t="str">
        <f t="shared" si="56"/>
        <v>1+0,00105566452286843i</v>
      </c>
      <c r="AK21" s="32">
        <f t="shared" si="77"/>
        <v>1.00000055721364</v>
      </c>
      <c r="AL21" s="32">
        <f t="shared" si="78"/>
        <v>0.0010556641307148</v>
      </c>
      <c r="AM21" s="32" t="str">
        <f t="shared" si="57"/>
        <v>1-0,000106830536935011i</v>
      </c>
      <c r="AN21" s="32">
        <f t="shared" si="79"/>
        <v>1.00000000570638</v>
      </c>
      <c r="AO21" s="32">
        <f t="shared" si="80"/>
        <v>-0.0001068305365286</v>
      </c>
      <c r="AP21" s="30" t="str">
        <f t="shared" si="81"/>
        <v>248,688659379339-17,3431266139032i</v>
      </c>
      <c r="AQ21" s="32">
        <f t="shared" si="82"/>
        <v>47.934190043214</v>
      </c>
      <c r="AR21" s="31">
        <f t="shared" si="83"/>
        <v>-3.98925200001179</v>
      </c>
      <c r="AS21" t="str">
        <f t="shared" si="58"/>
        <v>-0,000100699300699301</v>
      </c>
      <c r="AT21" t="str">
        <f t="shared" si="59"/>
        <v>0,0000151280496357484i</v>
      </c>
      <c r="AU21">
        <f t="shared" si="84"/>
        <v>1.51280496357484e-5</v>
      </c>
      <c r="AV21">
        <f t="shared" si="85"/>
        <v>1.5707963267949</v>
      </c>
      <c r="AW21" t="str">
        <f t="shared" si="60"/>
        <v>1+0,000774528393758255i</v>
      </c>
      <c r="AX21">
        <f t="shared" si="86"/>
        <v>1.00000029994707</v>
      </c>
      <c r="AY21">
        <f t="shared" si="87"/>
        <v>0.000774528238879939</v>
      </c>
      <c r="AZ21" t="str">
        <f t="shared" si="61"/>
        <v>1+0,0370290489526552i</v>
      </c>
      <c r="BA21">
        <f t="shared" si="88"/>
        <v>1.00068534038745</v>
      </c>
      <c r="BB21">
        <f t="shared" si="89"/>
        <v>0.0370121387297729</v>
      </c>
      <c r="BC21" s="30" t="str">
        <f t="shared" si="90"/>
        <v>-0,241326725207646+6,65664978462723i</v>
      </c>
      <c r="BD21" s="32">
        <f t="shared" si="91"/>
        <v>16.4708184238095</v>
      </c>
      <c r="BE21" s="31">
        <f t="shared" si="92"/>
        <v>92.0762621407672</v>
      </c>
      <c r="BF21" s="30" t="str">
        <f t="shared" si="93"/>
        <v>36,1982348789409+495,262574532382i</v>
      </c>
      <c r="BG21" s="68">
        <f t="shared" si="94"/>
        <v>53.919848476038</v>
      </c>
      <c r="BH21" s="31">
        <f t="shared" si="95"/>
        <v>85.8197431614423</v>
      </c>
      <c r="BI21" s="30" t="str">
        <f t="shared" si="96"/>
        <v>55,4319002749059+1659,61867084731i</v>
      </c>
      <c r="BJ21" s="68">
        <f t="shared" si="97"/>
        <v>64.4050084670235</v>
      </c>
      <c r="BK21" s="31">
        <f t="shared" si="98"/>
        <v>88.0870101407554</v>
      </c>
      <c r="BL21" s="32">
        <f t="shared" si="99"/>
        <v>53.919848476038</v>
      </c>
      <c r="BM21" s="31">
        <f t="shared" si="100"/>
        <v>85.8197431614423</v>
      </c>
      <c r="BO21">
        <f t="shared" si="101"/>
        <v>0</v>
      </c>
      <c r="BP21">
        <f t="shared" si="102"/>
        <v>0</v>
      </c>
    </row>
    <row r="22" spans="1:68">
      <c r="A22" t="s">
        <v>477</v>
      </c>
      <c r="N22" s="7">
        <v>4</v>
      </c>
      <c r="O22" s="18">
        <f t="shared" si="62"/>
        <v>10.9647819614319</v>
      </c>
      <c r="P22" s="86" t="str">
        <f t="shared" si="50"/>
        <v>75</v>
      </c>
      <c r="Q22" s="4" t="str">
        <f t="shared" si="51"/>
        <v>1+0,112526469630278i</v>
      </c>
      <c r="R22" s="4">
        <f t="shared" si="63"/>
        <v>1.00631118763902</v>
      </c>
      <c r="S22" s="4">
        <f t="shared" si="64"/>
        <v>0.11205510116007</v>
      </c>
      <c r="T22" s="4" t="str">
        <f t="shared" si="52"/>
        <v>1+0,00108025410845067i</v>
      </c>
      <c r="U22" s="4">
        <f t="shared" si="65"/>
        <v>1.0000005834743</v>
      </c>
      <c r="V22" s="4">
        <f t="shared" si="66"/>
        <v>0.0010802536882505</v>
      </c>
      <c r="W22" t="str">
        <f t="shared" si="53"/>
        <v>1-0,000566651150638185i</v>
      </c>
      <c r="X22" s="4">
        <f t="shared" si="67"/>
        <v>1.00000016054675</v>
      </c>
      <c r="Y22" s="4">
        <f t="shared" si="68"/>
        <v>-0.000566651089988858</v>
      </c>
      <c r="Z22" t="str">
        <f t="shared" si="54"/>
        <v>0,99999999901856+0,000177816192596517i</v>
      </c>
      <c r="AA22" s="4">
        <f t="shared" si="69"/>
        <v>1.00000001482786</v>
      </c>
      <c r="AB22" s="4">
        <f t="shared" si="70"/>
        <v>0.000177816190896933</v>
      </c>
      <c r="AC22" s="67" t="str">
        <f t="shared" si="71"/>
        <v>74,0650572877149-8,3090954211078i</v>
      </c>
      <c r="AD22" s="68">
        <f t="shared" si="72"/>
        <v>37.4465855820336</v>
      </c>
      <c r="AE22" s="31">
        <f t="shared" si="73"/>
        <v>-6.40104522542366</v>
      </c>
      <c r="AF22" s="32" t="str">
        <f t="shared" si="74"/>
        <v>249,914648392112</v>
      </c>
      <c r="AG22" s="32" t="str">
        <f t="shared" si="55"/>
        <v>1+0,0723384447623215i</v>
      </c>
      <c r="AH22" s="32">
        <f t="shared" si="75"/>
        <v>1.00261301138108</v>
      </c>
      <c r="AI22" s="32">
        <f t="shared" si="76"/>
        <v>0.07221266069451</v>
      </c>
      <c r="AJ22" s="32" t="str">
        <f t="shared" si="56"/>
        <v>1+0,00108025410845067i</v>
      </c>
      <c r="AK22" s="32">
        <f t="shared" si="77"/>
        <v>1.0000005834743</v>
      </c>
      <c r="AL22" s="32">
        <f t="shared" si="78"/>
        <v>0.0010802536882505</v>
      </c>
      <c r="AM22" s="32" t="str">
        <f t="shared" si="57"/>
        <v>1-0,000109318939807187i</v>
      </c>
      <c r="AN22" s="32">
        <f t="shared" si="79"/>
        <v>1.00000000597532</v>
      </c>
      <c r="AO22" s="32">
        <f t="shared" si="80"/>
        <v>-0.00010931893937171</v>
      </c>
      <c r="AP22" s="30" t="str">
        <f t="shared" si="81"/>
        <v>248,631181072631-17,7429420369302i</v>
      </c>
      <c r="AQ22" s="32">
        <f t="shared" si="82"/>
        <v>47.9331726412744</v>
      </c>
      <c r="AR22" s="31">
        <f t="shared" si="83"/>
        <v>-4.08185022191232</v>
      </c>
      <c r="AS22" t="str">
        <f t="shared" si="58"/>
        <v>-0,000100699300699301</v>
      </c>
      <c r="AT22" t="str">
        <f t="shared" si="59"/>
        <v>0,0000154804271791368i</v>
      </c>
      <c r="AU22">
        <f t="shared" si="84"/>
        <v>1.54804271791368e-5</v>
      </c>
      <c r="AV22">
        <f t="shared" si="85"/>
        <v>1.5707963267949</v>
      </c>
      <c r="AW22" t="str">
        <f t="shared" si="60"/>
        <v>1+0,000792569477655292i</v>
      </c>
      <c r="AX22">
        <f t="shared" si="86"/>
        <v>1.00000031408314</v>
      </c>
      <c r="AY22">
        <f t="shared" si="87"/>
        <v>0.000792569311700189</v>
      </c>
      <c r="AZ22" t="str">
        <f t="shared" si="61"/>
        <v>1+0,0378915663040731i</v>
      </c>
      <c r="BA22">
        <f t="shared" si="88"/>
        <v>1.00071762790358</v>
      </c>
      <c r="BB22">
        <f t="shared" si="89"/>
        <v>0.0378734473755072</v>
      </c>
      <c r="BC22" s="30" t="str">
        <f t="shared" si="90"/>
        <v>-0,241326718384825+6,50513454488668i</v>
      </c>
      <c r="BD22" s="32">
        <f t="shared" si="91"/>
        <v>16.2710985502367</v>
      </c>
      <c r="BE22" s="31">
        <f t="shared" si="92"/>
        <v>92.1245778136954</v>
      </c>
      <c r="BF22" s="30" t="str">
        <f t="shared" si="93"/>
        <v>36,1779064383798+483,808369462047i</v>
      </c>
      <c r="BG22" s="68">
        <f t="shared" si="94"/>
        <v>53.7176841322702</v>
      </c>
      <c r="BH22" s="31">
        <f t="shared" si="95"/>
        <v>85.7235325882717</v>
      </c>
      <c r="BI22" s="30" t="str">
        <f t="shared" si="96"/>
        <v>55,4188781559554+1621,66113090781i</v>
      </c>
      <c r="BJ22" s="68">
        <f t="shared" si="97"/>
        <v>64.204271191511</v>
      </c>
      <c r="BK22" s="31">
        <f t="shared" si="98"/>
        <v>88.042727591783</v>
      </c>
      <c r="BL22" s="32">
        <f t="shared" si="99"/>
        <v>53.7176841322702</v>
      </c>
      <c r="BM22" s="31">
        <f t="shared" si="100"/>
        <v>85.7235325882717</v>
      </c>
      <c r="BO22">
        <f t="shared" si="101"/>
        <v>0</v>
      </c>
      <c r="BP22">
        <f t="shared" si="102"/>
        <v>0</v>
      </c>
    </row>
    <row r="23" spans="1:68">
      <c r="A23" t="s">
        <v>478</v>
      </c>
      <c r="B23" s="85">
        <f>Lm</f>
        <v>4.7e-6</v>
      </c>
      <c r="C23" t="s">
        <v>139</v>
      </c>
      <c r="E23" t="s">
        <v>479</v>
      </c>
      <c r="N23" s="7">
        <v>5</v>
      </c>
      <c r="O23" s="18">
        <f t="shared" si="62"/>
        <v>11.2201845430196</v>
      </c>
      <c r="P23" s="86" t="str">
        <f t="shared" si="50"/>
        <v>75</v>
      </c>
      <c r="Q23" s="4" t="str">
        <f t="shared" si="51"/>
        <v>1+0,115147547818756i</v>
      </c>
      <c r="R23" s="4">
        <f t="shared" si="63"/>
        <v>1.00660764837581</v>
      </c>
      <c r="S23" s="4">
        <f t="shared" si="64"/>
        <v>0.114642646296026</v>
      </c>
      <c r="T23" s="4" t="str">
        <f t="shared" si="52"/>
        <v>1+0,00110541645906006i</v>
      </c>
      <c r="U23" s="4">
        <f t="shared" si="65"/>
        <v>1.00000061097259</v>
      </c>
      <c r="V23" s="4">
        <f t="shared" si="66"/>
        <v>0.00110541600880748</v>
      </c>
      <c r="W23" t="str">
        <f t="shared" si="53"/>
        <v>1-0,000579850151515877i</v>
      </c>
      <c r="X23" s="4">
        <f t="shared" si="67"/>
        <v>1.00000016811309</v>
      </c>
      <c r="Y23" s="4">
        <f t="shared" si="68"/>
        <v>-0.000579850086528953</v>
      </c>
      <c r="Z23" t="str">
        <f t="shared" si="54"/>
        <v>0,999999998972306+0,000181958063798059i</v>
      </c>
      <c r="AA23" s="4">
        <f t="shared" si="69"/>
        <v>1.00000001552667</v>
      </c>
      <c r="AB23" s="4">
        <f t="shared" si="70"/>
        <v>0.000181958061976922</v>
      </c>
      <c r="AC23" s="67" t="str">
        <f t="shared" si="71"/>
        <v>74,0215713730307-8,49763182060266i</v>
      </c>
      <c r="AD23" s="68">
        <f t="shared" si="72"/>
        <v>37.4440273816842</v>
      </c>
      <c r="AE23" s="31">
        <f t="shared" si="73"/>
        <v>-6.5488525047706</v>
      </c>
      <c r="AF23" s="32" t="str">
        <f t="shared" si="74"/>
        <v>249,914648392112</v>
      </c>
      <c r="AG23" s="32" t="str">
        <f t="shared" si="55"/>
        <v>1+0,0740234235977715i</v>
      </c>
      <c r="AH23" s="32">
        <f t="shared" si="75"/>
        <v>1.00273599079774</v>
      </c>
      <c r="AI23" s="32">
        <f t="shared" si="76"/>
        <v>0.0738886633946753</v>
      </c>
      <c r="AJ23" s="32" t="str">
        <f t="shared" si="56"/>
        <v>1+0,00110541645906006i</v>
      </c>
      <c r="AK23" s="32">
        <f t="shared" si="77"/>
        <v>1.00000061097259</v>
      </c>
      <c r="AL23" s="32">
        <f t="shared" si="78"/>
        <v>0.00110541600880748</v>
      </c>
      <c r="AM23" s="32" t="str">
        <f t="shared" si="57"/>
        <v>1-0,000111865305028256i</v>
      </c>
      <c r="AN23" s="32">
        <f t="shared" si="79"/>
        <v>1.00000000625692</v>
      </c>
      <c r="AO23" s="32">
        <f t="shared" si="80"/>
        <v>-0.000111865304561634</v>
      </c>
      <c r="AP23" s="30" t="str">
        <f t="shared" si="81"/>
        <v>248,571022756914-18,1517751243469i</v>
      </c>
      <c r="AQ23" s="32">
        <f t="shared" si="82"/>
        <v>47.9321075461685</v>
      </c>
      <c r="AR23" s="31">
        <f t="shared" si="83"/>
        <v>-4.17658230429213</v>
      </c>
      <c r="AS23" t="str">
        <f t="shared" si="58"/>
        <v>-0,000100699300699301</v>
      </c>
      <c r="AT23" t="str">
        <f t="shared" si="59"/>
        <v>0,0000158410126499231i</v>
      </c>
      <c r="AU23">
        <f t="shared" si="84"/>
        <v>1.58410126499231e-5</v>
      </c>
      <c r="AV23">
        <f t="shared" si="85"/>
        <v>1.5707963267949</v>
      </c>
      <c r="AW23" t="str">
        <f t="shared" si="60"/>
        <v>1+0,000811030792380272i</v>
      </c>
      <c r="AX23">
        <f t="shared" si="86"/>
        <v>1.00000032888542</v>
      </c>
      <c r="AY23">
        <f t="shared" si="87"/>
        <v>0.000811030614556178</v>
      </c>
      <c r="AZ23" t="str">
        <f t="shared" si="61"/>
        <v>1+0,0387741742654993i</v>
      </c>
      <c r="BA23">
        <f t="shared" si="88"/>
        <v>1.00075143596698</v>
      </c>
      <c r="BB23">
        <f t="shared" si="89"/>
        <v>0.0387547602710061</v>
      </c>
      <c r="BC23" s="30" t="str">
        <f t="shared" si="90"/>
        <v>-0,241326711240457+6,35706841358703i</v>
      </c>
      <c r="BD23" s="32">
        <f t="shared" si="91"/>
        <v>16.0713918592341</v>
      </c>
      <c r="BE23" s="31">
        <f t="shared" si="92"/>
        <v>92.1740155683</v>
      </c>
      <c r="BF23" s="30" t="str">
        <f t="shared" si="93"/>
        <v>36,156644456741+472,61089884017i</v>
      </c>
      <c r="BG23" s="68">
        <f t="shared" si="94"/>
        <v>53.5154192409183</v>
      </c>
      <c r="BH23" s="31">
        <f t="shared" si="95"/>
        <v>85.6251630635294</v>
      </c>
      <c r="BI23" s="30" t="str">
        <f t="shared" si="96"/>
        <v>55,4052488619176+1584,56350549494i</v>
      </c>
      <c r="BJ23" s="68">
        <f t="shared" si="97"/>
        <v>64.0034994054026</v>
      </c>
      <c r="BK23" s="31">
        <f t="shared" si="98"/>
        <v>87.9974332640078</v>
      </c>
      <c r="BL23" s="32">
        <f t="shared" si="99"/>
        <v>53.5154192409183</v>
      </c>
      <c r="BM23" s="31">
        <f t="shared" si="100"/>
        <v>85.6251630635294</v>
      </c>
      <c r="BO23">
        <f t="shared" si="101"/>
        <v>0</v>
      </c>
      <c r="BP23">
        <f t="shared" si="102"/>
        <v>0</v>
      </c>
    </row>
    <row r="24" spans="1:68">
      <c r="N24" s="7">
        <v>6</v>
      </c>
      <c r="O24" s="18">
        <f t="shared" si="62"/>
        <v>11.4815362149688</v>
      </c>
      <c r="P24" s="86" t="str">
        <f t="shared" si="50"/>
        <v>75</v>
      </c>
      <c r="Q24" s="4" t="str">
        <f t="shared" si="51"/>
        <v>1+0,117829678761246i</v>
      </c>
      <c r="R24" s="4">
        <f t="shared" si="63"/>
        <v>1.00691798732418</v>
      </c>
      <c r="S24" s="4">
        <f t="shared" si="64"/>
        <v>0.117288867580624</v>
      </c>
      <c r="T24" s="4" t="str">
        <f t="shared" si="52"/>
        <v>1+0,00113116491610796i</v>
      </c>
      <c r="U24" s="4">
        <f t="shared" si="65"/>
        <v>1.00000063976683</v>
      </c>
      <c r="V24" s="4">
        <f t="shared" si="66"/>
        <v>0.00113116443365365</v>
      </c>
      <c r="W24" t="str">
        <f t="shared" si="53"/>
        <v>1-0,000593356596619131i</v>
      </c>
      <c r="X24" s="4">
        <f t="shared" si="67"/>
        <v>1.00000017603601</v>
      </c>
      <c r="Y24" s="4">
        <f t="shared" si="68"/>
        <v>-0.000593356526984388</v>
      </c>
      <c r="Z24" t="str">
        <f t="shared" si="54"/>
        <v>0,999999998923872+0,000186196411573529i</v>
      </c>
      <c r="AA24" s="4">
        <f t="shared" si="69"/>
        <v>1.00000001625842</v>
      </c>
      <c r="AB24" s="4">
        <f t="shared" si="70"/>
        <v>0.000186196409622146</v>
      </c>
      <c r="AC24" s="67" t="str">
        <f t="shared" si="71"/>
        <v>73,9760908957756-8,69020814344216i</v>
      </c>
      <c r="AD24" s="68">
        <f t="shared" si="72"/>
        <v>37.4413502315645</v>
      </c>
      <c r="AE24" s="31">
        <f t="shared" si="73"/>
        <v>-6.70001124142946</v>
      </c>
      <c r="AF24" s="32" t="str">
        <f t="shared" si="74"/>
        <v>249,914648392112</v>
      </c>
      <c r="AG24" s="32" t="str">
        <f t="shared" si="55"/>
        <v>1+0,0757476506322294i</v>
      </c>
      <c r="AH24" s="32">
        <f t="shared" si="75"/>
        <v>1.00286474989218</v>
      </c>
      <c r="AI24" s="32">
        <f t="shared" si="76"/>
        <v>0.0756032747414339</v>
      </c>
      <c r="AJ24" s="32" t="str">
        <f t="shared" si="56"/>
        <v>1+0,00113116491610796i</v>
      </c>
      <c r="AK24" s="32">
        <f t="shared" si="77"/>
        <v>1.00000063976683</v>
      </c>
      <c r="AL24" s="32">
        <f t="shared" si="78"/>
        <v>0.00113116443365365</v>
      </c>
      <c r="AM24" s="32" t="str">
        <f t="shared" si="57"/>
        <v>1-0,000114470982714763i</v>
      </c>
      <c r="AN24" s="32">
        <f t="shared" si="79"/>
        <v>1.0000000065518</v>
      </c>
      <c r="AO24" s="32">
        <f t="shared" si="80"/>
        <v>-0.000114470982214769</v>
      </c>
      <c r="AP24" s="30" t="str">
        <f t="shared" si="81"/>
        <v>248,50806088833-18,5698150685757i</v>
      </c>
      <c r="AQ24" s="32">
        <f t="shared" si="82"/>
        <v>47.9309925347001</v>
      </c>
      <c r="AR24" s="31">
        <f t="shared" si="83"/>
        <v>-4.27349631622616</v>
      </c>
      <c r="AS24" t="str">
        <f t="shared" si="58"/>
        <v>-0,000100699300699301</v>
      </c>
      <c r="AT24" t="str">
        <f t="shared" si="59"/>
        <v>0,0000162099972352971i</v>
      </c>
      <c r="AU24">
        <f t="shared" si="84"/>
        <v>1.62099972352971e-5</v>
      </c>
      <c r="AV24">
        <f t="shared" si="85"/>
        <v>1.5707963267949</v>
      </c>
      <c r="AW24" t="str">
        <f t="shared" si="60"/>
        <v>1+0,00082992212636664i</v>
      </c>
      <c r="AX24">
        <f t="shared" si="86"/>
        <v>1.00000034438531</v>
      </c>
      <c r="AY24">
        <f t="shared" si="87"/>
        <v>0.000829921935824694</v>
      </c>
      <c r="AZ24" t="str">
        <f t="shared" si="61"/>
        <v>1+0,0396773408073582i</v>
      </c>
      <c r="BA24">
        <f t="shared" si="88"/>
        <v>1.00078683613122</v>
      </c>
      <c r="BB24">
        <f t="shared" si="89"/>
        <v>0.0396565392206949</v>
      </c>
      <c r="BC24" s="30" t="str">
        <f t="shared" si="90"/>
        <v>-0,241326703759385+6,21237288410541i</v>
      </c>
      <c r="BD24" s="32">
        <f t="shared" si="91"/>
        <v>15.8716989702099</v>
      </c>
      <c r="BE24" s="31">
        <f t="shared" si="92"/>
        <v>92.2246013031928</v>
      </c>
      <c r="BF24" s="30" t="str">
        <f t="shared" si="93"/>
        <v>36,1344072546699+461,664240439273i</v>
      </c>
      <c r="BG24" s="68">
        <f t="shared" si="94"/>
        <v>53.3130492017745</v>
      </c>
      <c r="BH24" s="31">
        <f t="shared" si="95"/>
        <v>85.5245900617633</v>
      </c>
      <c r="BI24" s="30" t="str">
        <f t="shared" si="96"/>
        <v>55,3909844030545+1548,3061312042i</v>
      </c>
      <c r="BJ24" s="68">
        <f t="shared" si="97"/>
        <v>63.8026915049101</v>
      </c>
      <c r="BK24" s="31">
        <f t="shared" si="98"/>
        <v>87.9511049869666</v>
      </c>
      <c r="BL24" s="32">
        <f t="shared" si="99"/>
        <v>53.3130492017745</v>
      </c>
      <c r="BM24" s="31">
        <f t="shared" si="100"/>
        <v>85.5245900617633</v>
      </c>
      <c r="BO24">
        <f t="shared" si="101"/>
        <v>0</v>
      </c>
      <c r="BP24">
        <f t="shared" si="102"/>
        <v>0</v>
      </c>
    </row>
    <row r="25" spans="1:68">
      <c r="A25" t="s">
        <v>239</v>
      </c>
      <c r="B25" s="85">
        <f>R_cs</f>
        <v>0.01</v>
      </c>
      <c r="C25" s="16" t="s">
        <v>35</v>
      </c>
      <c r="E25" t="s">
        <v>480</v>
      </c>
      <c r="N25" s="7">
        <v>7</v>
      </c>
      <c r="O25" s="18">
        <f t="shared" si="62"/>
        <v>11.7489755493953</v>
      </c>
      <c r="P25" s="86" t="str">
        <f t="shared" si="50"/>
        <v>75</v>
      </c>
      <c r="Q25" s="4" t="str">
        <f t="shared" si="51"/>
        <v>1+0,120574284559076i</v>
      </c>
      <c r="R25" s="4">
        <f t="shared" si="63"/>
        <v>1.00724284961321</v>
      </c>
      <c r="S25" s="4">
        <f t="shared" si="64"/>
        <v>0.119995019754403</v>
      </c>
      <c r="T25" s="4" t="str">
        <f t="shared" si="52"/>
        <v>1+0,00115751313176713i</v>
      </c>
      <c r="U25" s="4">
        <f t="shared" si="65"/>
        <v>1.0000006699181</v>
      </c>
      <c r="V25" s="4">
        <f t="shared" si="66"/>
        <v>0.00115751261480804</v>
      </c>
      <c r="W25" t="str">
        <f t="shared" si="53"/>
        <v>1-0,000607177647243916i</v>
      </c>
      <c r="X25" s="4">
        <f t="shared" si="67"/>
        <v>1.00000018433233</v>
      </c>
      <c r="Y25" s="4">
        <f t="shared" si="68"/>
        <v>-0.000607177572628945</v>
      </c>
      <c r="Z25" t="str">
        <f t="shared" si="54"/>
        <v>0,999999998873156+0,000190533483151016i</v>
      </c>
      <c r="AA25" s="4">
        <f t="shared" si="69"/>
        <v>1.00000001702466</v>
      </c>
      <c r="AB25" s="4">
        <f t="shared" si="70"/>
        <v>0.000190533481060071</v>
      </c>
      <c r="AC25" s="67" t="str">
        <f t="shared" si="71"/>
        <v>73,9285270371933-8,88689411692159i</v>
      </c>
      <c r="AD25" s="68">
        <f t="shared" si="72"/>
        <v>37.4385486793255</v>
      </c>
      <c r="AE25" s="31">
        <f t="shared" si="73"/>
        <v>-6.8545930836019</v>
      </c>
      <c r="AF25" s="32" t="str">
        <f t="shared" si="74"/>
        <v>249,914648392112</v>
      </c>
      <c r="AG25" s="32" t="str">
        <f t="shared" si="55"/>
        <v>1+0,0775120400736914i</v>
      </c>
      <c r="AH25" s="32">
        <f t="shared" si="75"/>
        <v>1.0029995594996</v>
      </c>
      <c r="AI25" s="32">
        <f t="shared" si="76"/>
        <v>0.0773573634956646</v>
      </c>
      <c r="AJ25" s="32" t="str">
        <f t="shared" si="56"/>
        <v>1+0,00115751313176713i</v>
      </c>
      <c r="AK25" s="32">
        <f t="shared" si="77"/>
        <v>1.0000006699181</v>
      </c>
      <c r="AL25" s="32">
        <f t="shared" si="78"/>
        <v>0.00115751261480804</v>
      </c>
      <c r="AM25" s="32" t="str">
        <f t="shared" si="57"/>
        <v>1-0,000117137354431509i</v>
      </c>
      <c r="AN25" s="32">
        <f t="shared" si="79"/>
        <v>1.00000000686058</v>
      </c>
      <c r="AO25" s="32">
        <f t="shared" si="80"/>
        <v>-0.000117137353895756</v>
      </c>
      <c r="AP25" s="30" t="str">
        <f t="shared" si="81"/>
        <v>248,442166363543-18,9972540085772i</v>
      </c>
      <c r="AQ25" s="32">
        <f t="shared" si="82"/>
        <v>47.9298252812421</v>
      </c>
      <c r="AR25" s="31">
        <f t="shared" si="83"/>
        <v>-4.37264133100088</v>
      </c>
      <c r="AS25" t="str">
        <f t="shared" si="58"/>
        <v>-0,000100699300699301</v>
      </c>
      <c r="AT25" t="str">
        <f t="shared" si="59"/>
        <v>0,00001658757657577i</v>
      </c>
      <c r="AU25">
        <f t="shared" si="84"/>
        <v>1.658757657577e-5</v>
      </c>
      <c r="AV25">
        <f t="shared" si="85"/>
        <v>1.5707963267949</v>
      </c>
      <c r="AW25" t="str">
        <f t="shared" si="60"/>
        <v>1+0,000849253496049727i</v>
      </c>
      <c r="AX25">
        <f t="shared" si="86"/>
        <v>1.00000036061569</v>
      </c>
      <c r="AY25">
        <f t="shared" si="87"/>
        <v>0.000849253291880358</v>
      </c>
      <c r="AZ25" t="str">
        <f t="shared" si="61"/>
        <v>1+0,040601544800505i</v>
      </c>
      <c r="BA25">
        <f t="shared" si="88"/>
        <v>1.00082390331176</v>
      </c>
      <c r="BB25">
        <f t="shared" si="89"/>
        <v>0.0405792564897111</v>
      </c>
      <c r="BC25" s="30" t="str">
        <f t="shared" si="90"/>
        <v>-0,24132669592574+6,0709712369568i</v>
      </c>
      <c r="BD25" s="32">
        <f t="shared" si="91"/>
        <v>15.6720205315847</v>
      </c>
      <c r="BE25" s="31">
        <f t="shared" si="92"/>
        <v>92.276361503277</v>
      </c>
      <c r="BF25" s="30" t="str">
        <f t="shared" si="93"/>
        <v>36,111151405169+450,962606027662i</v>
      </c>
      <c r="BG25" s="68">
        <f t="shared" si="94"/>
        <v>53.1105692109103</v>
      </c>
      <c r="BH25" s="31">
        <f t="shared" si="95"/>
        <v>85.4217684196751</v>
      </c>
      <c r="BI25" s="30" t="str">
        <f t="shared" si="96"/>
        <v>55,3760555300876+1512,86979058186i</v>
      </c>
      <c r="BJ25" s="68">
        <f t="shared" si="97"/>
        <v>63.6018458128268</v>
      </c>
      <c r="BK25" s="31">
        <f t="shared" si="98"/>
        <v>87.9037201722761</v>
      </c>
      <c r="BL25" s="32">
        <f t="shared" si="99"/>
        <v>53.1105692109103</v>
      </c>
      <c r="BM25" s="31">
        <f t="shared" si="100"/>
        <v>85.4217684196751</v>
      </c>
      <c r="BO25">
        <f t="shared" si="101"/>
        <v>0</v>
      </c>
      <c r="BP25">
        <f t="shared" si="102"/>
        <v>0</v>
      </c>
    </row>
    <row r="26" customFormat="1" spans="1:68">
      <c r="A26" t="s">
        <v>241</v>
      </c>
      <c r="B26" s="85">
        <f>R_sl</f>
        <v>0</v>
      </c>
      <c r="C26" s="16" t="s">
        <v>35</v>
      </c>
      <c r="E26" t="s">
        <v>481</v>
      </c>
      <c r="N26" s="7">
        <v>8</v>
      </c>
      <c r="O26" s="18">
        <f t="shared" si="62"/>
        <v>12.0226443461741</v>
      </c>
      <c r="P26" s="86" t="str">
        <f t="shared" si="50"/>
        <v>75</v>
      </c>
      <c r="Q26" s="4" t="str">
        <f t="shared" si="51"/>
        <v>1+0,123382820438567i</v>
      </c>
      <c r="R26" s="4">
        <f t="shared" si="63"/>
        <v>1.0075829099282</v>
      </c>
      <c r="S26" s="4">
        <f t="shared" si="64"/>
        <v>0.122762379026952</v>
      </c>
      <c r="T26" s="4" t="str">
        <f t="shared" si="52"/>
        <v>1+0,00118447507621024i</v>
      </c>
      <c r="U26" s="4">
        <f t="shared" si="65"/>
        <v>1.00000070149036</v>
      </c>
      <c r="V26" s="4">
        <f t="shared" si="66"/>
        <v>0.00118447452227862</v>
      </c>
      <c r="W26" t="str">
        <f t="shared" si="53"/>
        <v>1-0,000621320631494213i</v>
      </c>
      <c r="X26" s="4">
        <f t="shared" si="67"/>
        <v>1.00000019301964</v>
      </c>
      <c r="Y26" s="4">
        <f t="shared" si="68"/>
        <v>-0.000621320551542832</v>
      </c>
      <c r="Z26" t="str">
        <f t="shared" si="54"/>
        <v>0,999999998820049+0,000194971578103277i</v>
      </c>
      <c r="AA26" s="4">
        <f t="shared" si="69"/>
        <v>1.00000001782701</v>
      </c>
      <c r="AB26" s="4">
        <f t="shared" si="70"/>
        <v>0.00019497157586279</v>
      </c>
      <c r="AC26" s="67" t="str">
        <f t="shared" si="71"/>
        <v>73,8787872764287-9,08775944154667i</v>
      </c>
      <c r="AD26" s="68">
        <f t="shared" si="72"/>
        <v>37.4356170301555</v>
      </c>
      <c r="AE26" s="31">
        <f t="shared" si="73"/>
        <v>-7.01267090391244</v>
      </c>
      <c r="AF26" s="32" t="str">
        <f t="shared" si="74"/>
        <v>249,914648392112</v>
      </c>
      <c r="AG26" s="32" t="str">
        <f t="shared" si="55"/>
        <v>1+0,0793175274247931i</v>
      </c>
      <c r="AH26" s="32">
        <f t="shared" si="75"/>
        <v>1.0031407030705</v>
      </c>
      <c r="AI26" s="32">
        <f t="shared" si="76"/>
        <v>0.079151816498076</v>
      </c>
      <c r="AJ26" s="32" t="str">
        <f t="shared" si="56"/>
        <v>1+0,00118447507621024i</v>
      </c>
      <c r="AK26" s="32">
        <f t="shared" si="77"/>
        <v>1.00000070149036</v>
      </c>
      <c r="AL26" s="32">
        <f t="shared" si="78"/>
        <v>0.00118447452227862</v>
      </c>
      <c r="AM26" s="32" t="str">
        <f t="shared" si="57"/>
        <v>1-0,000119865833924069i</v>
      </c>
      <c r="AN26" s="32">
        <f t="shared" si="79"/>
        <v>1.00000000718391</v>
      </c>
      <c r="AO26" s="32">
        <f t="shared" si="80"/>
        <v>-0.000119865833349999</v>
      </c>
      <c r="AP26" s="30" t="str">
        <f t="shared" si="81"/>
        <v>248,373204282587-19,4342869978069i</v>
      </c>
      <c r="AQ26" s="32">
        <f t="shared" si="82"/>
        <v>47.9286033531317</v>
      </c>
      <c r="AR26" s="31">
        <f t="shared" si="83"/>
        <v>-4.47406744142515</v>
      </c>
      <c r="AS26" t="str">
        <f t="shared" si="58"/>
        <v>-0,000100699300699301</v>
      </c>
      <c r="AT26" t="str">
        <f t="shared" si="59"/>
        <v>0,0000169739508689057i</v>
      </c>
      <c r="AU26">
        <f t="shared" si="84"/>
        <v>1.69739508689057e-5</v>
      </c>
      <c r="AV26">
        <f t="shared" si="85"/>
        <v>1.5707963267949</v>
      </c>
      <c r="AW26" t="str">
        <f t="shared" si="60"/>
        <v>1+0,000869035151177614i</v>
      </c>
      <c r="AX26">
        <f t="shared" si="86"/>
        <v>1.00000037761098</v>
      </c>
      <c r="AY26">
        <f t="shared" si="87"/>
        <v>0.000869034932406198</v>
      </c>
      <c r="AZ26" t="str">
        <f t="shared" si="61"/>
        <v>1+0,0415472762701297i</v>
      </c>
      <c r="BA26">
        <f t="shared" si="88"/>
        <v>1.00086271594333</v>
      </c>
      <c r="BB26">
        <f t="shared" si="89"/>
        <v>0.0415233950265155</v>
      </c>
      <c r="BC26" s="30" t="str">
        <f t="shared" si="90"/>
        <v>-0,24132668772291+5,93278849911629i</v>
      </c>
      <c r="BD26" s="32">
        <f t="shared" si="91"/>
        <v>15.4723572221412</v>
      </c>
      <c r="BE26" s="31">
        <f t="shared" si="92"/>
        <v>92.3293232521975</v>
      </c>
      <c r="BF26" s="30" t="str">
        <f t="shared" si="93"/>
        <v>36,0868316711376+440,500338367106i</v>
      </c>
      <c r="BG26" s="68">
        <f t="shared" si="94"/>
        <v>52.9079742522967</v>
      </c>
      <c r="BH26" s="31">
        <f t="shared" si="95"/>
        <v>85.3166523482851</v>
      </c>
      <c r="BI26" s="30" t="str">
        <f t="shared" si="96"/>
        <v>55,3604316804716+1478,23570196583i</v>
      </c>
      <c r="BJ26" s="68">
        <f t="shared" si="97"/>
        <v>63.4009605752729</v>
      </c>
      <c r="BK26" s="31">
        <f t="shared" si="98"/>
        <v>87.8552558107724</v>
      </c>
      <c r="BL26" s="32">
        <f t="shared" si="99"/>
        <v>52.9079742522967</v>
      </c>
      <c r="BM26" s="31">
        <f t="shared" si="100"/>
        <v>85.3166523482851</v>
      </c>
      <c r="BO26">
        <f t="shared" si="101"/>
        <v>0</v>
      </c>
      <c r="BP26">
        <f t="shared" si="102"/>
        <v>0</v>
      </c>
    </row>
    <row r="27" customFormat="1" spans="1:68">
      <c r="A27" t="s">
        <v>482</v>
      </c>
      <c r="B27" s="10">
        <f>Rsl_int</f>
        <v>2000</v>
      </c>
      <c r="C27" s="16" t="s">
        <v>35</v>
      </c>
      <c r="E27" t="s">
        <v>483</v>
      </c>
      <c r="N27" s="7">
        <v>9</v>
      </c>
      <c r="O27" s="18">
        <f t="shared" si="62"/>
        <v>12.3026877081238</v>
      </c>
      <c r="P27" s="86" t="str">
        <f t="shared" si="50"/>
        <v>75</v>
      </c>
      <c r="Q27" s="4" t="str">
        <f t="shared" si="51"/>
        <v>1+0,126256775522621i</v>
      </c>
      <c r="R27" s="4">
        <f t="shared" si="63"/>
        <v>1.00793887382389</v>
      </c>
      <c r="S27" s="4">
        <f t="shared" si="64"/>
        <v>0.125592243052246</v>
      </c>
      <c r="T27" s="4" t="str">
        <f t="shared" si="52"/>
        <v>1+0,00121206504501716i</v>
      </c>
      <c r="U27" s="4">
        <f t="shared" si="65"/>
        <v>1.00000073455057</v>
      </c>
      <c r="V27" s="4">
        <f t="shared" si="66"/>
        <v>0.00121206445146875</v>
      </c>
      <c r="W27" t="str">
        <f t="shared" si="53"/>
        <v>1-0,000635793048167482i</v>
      </c>
      <c r="X27" s="4">
        <f t="shared" si="67"/>
        <v>1.00000020211638</v>
      </c>
      <c r="Y27" s="4">
        <f t="shared" si="68"/>
        <v>-0.000635792962498035</v>
      </c>
      <c r="Z27" t="str">
        <f t="shared" si="54"/>
        <v>0,99999999876444+0,000199513049567003i</v>
      </c>
      <c r="AA27" s="4">
        <f t="shared" si="69"/>
        <v>1.00000001866717</v>
      </c>
      <c r="AB27" s="4">
        <f t="shared" si="70"/>
        <v>0.000199513047166277</v>
      </c>
      <c r="AC27" s="67" t="str">
        <f t="shared" si="71"/>
        <v>73,8267752603983-9,29287368320444i</v>
      </c>
      <c r="AD27" s="68">
        <f t="shared" si="72"/>
        <v>37.4325493367053</v>
      </c>
      <c r="AE27" s="31">
        <f t="shared" si="73"/>
        <v>-7.17431879786359</v>
      </c>
      <c r="AF27" s="32" t="str">
        <f t="shared" si="74"/>
        <v>249,914648392112</v>
      </c>
      <c r="AG27" s="32" t="str">
        <f t="shared" si="55"/>
        <v>1+0,0811650699788275i</v>
      </c>
      <c r="AH27" s="32">
        <f t="shared" si="75"/>
        <v>1.00328847725102</v>
      </c>
      <c r="AI27" s="32">
        <f t="shared" si="76"/>
        <v>0.080987538939598</v>
      </c>
      <c r="AJ27" s="32" t="str">
        <f t="shared" si="56"/>
        <v>1+0,00121206504501716i</v>
      </c>
      <c r="AK27" s="32">
        <f t="shared" si="77"/>
        <v>1.00000073455057</v>
      </c>
      <c r="AL27" s="32">
        <f t="shared" si="78"/>
        <v>0.00121206445146875</v>
      </c>
      <c r="AM27" s="32" t="str">
        <f t="shared" si="57"/>
        <v>1-0,000122657867868389i</v>
      </c>
      <c r="AN27" s="32">
        <f t="shared" si="79"/>
        <v>1.00000000752248</v>
      </c>
      <c r="AO27" s="32">
        <f t="shared" si="80"/>
        <v>-0.000122657867253262</v>
      </c>
      <c r="AP27" s="30" t="str">
        <f t="shared" si="81"/>
        <v>248,301033702881-19,8811119646766i</v>
      </c>
      <c r="AQ27" s="32">
        <f t="shared" si="82"/>
        <v>47.9273242058707</v>
      </c>
      <c r="AR27" s="31">
        <f t="shared" si="83"/>
        <v>-4.57782577494107</v>
      </c>
      <c r="AS27" t="str">
        <f t="shared" si="58"/>
        <v>-0,000100699300699301</v>
      </c>
      <c r="AT27" t="str">
        <f t="shared" si="59"/>
        <v>0,0000173693249754691i</v>
      </c>
      <c r="AU27">
        <f t="shared" si="84"/>
        <v>1.73693249754691e-5</v>
      </c>
      <c r="AV27">
        <f t="shared" si="85"/>
        <v>1.5707963267949</v>
      </c>
      <c r="AW27" t="str">
        <f t="shared" si="60"/>
        <v>1+0,0008892775802457i</v>
      </c>
      <c r="AX27">
        <f t="shared" si="86"/>
        <v>1.00000039540723</v>
      </c>
      <c r="AY27">
        <f t="shared" si="87"/>
        <v>0.000889277345827909</v>
      </c>
      <c r="AZ27" t="str">
        <f t="shared" si="61"/>
        <v>1+0,0425150366555763i</v>
      </c>
      <c r="BA27">
        <f t="shared" si="88"/>
        <v>1.00090335614475</v>
      </c>
      <c r="BB27">
        <f t="shared" si="89"/>
        <v>0.0424894486891975</v>
      </c>
      <c r="BC27" s="30" t="str">
        <f t="shared" si="90"/>
        <v>-0,241326679133492+5,797751404267i</v>
      </c>
      <c r="BD27" s="32">
        <f t="shared" si="91"/>
        <v>15.2727097524359</v>
      </c>
      <c r="BE27" s="31">
        <f t="shared" si="92"/>
        <v>92.3835142449962</v>
      </c>
      <c r="BF27" s="30" t="str">
        <f t="shared" si="93"/>
        <v>36,0614009417478+430,271908284053i</v>
      </c>
      <c r="BG27" s="68">
        <f t="shared" si="94"/>
        <v>52.7052590891412</v>
      </c>
      <c r="BH27" s="31">
        <f t="shared" si="95"/>
        <v>85.2091954471326</v>
      </c>
      <c r="BI27" s="30" t="str">
        <f t="shared" si="96"/>
        <v>55,3440809226637+1444,38550955974i</v>
      </c>
      <c r="BJ27" s="68">
        <f t="shared" si="97"/>
        <v>63.2000339583065</v>
      </c>
      <c r="BK27" s="31">
        <f t="shared" si="98"/>
        <v>87.8056884700551</v>
      </c>
      <c r="BL27" s="32">
        <f t="shared" si="99"/>
        <v>52.7052590891412</v>
      </c>
      <c r="BM27" s="31">
        <f t="shared" si="100"/>
        <v>85.2091954471326</v>
      </c>
      <c r="BO27">
        <f t="shared" si="101"/>
        <v>0</v>
      </c>
      <c r="BP27">
        <f t="shared" si="102"/>
        <v>0</v>
      </c>
    </row>
    <row r="28" spans="1:68">
      <c r="A28" t="s">
        <v>484</v>
      </c>
      <c r="B28" s="10">
        <f>Isl</f>
        <v>4.3e-5</v>
      </c>
      <c r="C28" s="16" t="s">
        <v>12</v>
      </c>
      <c r="E28" t="s">
        <v>485</v>
      </c>
      <c r="N28" s="7">
        <v>10</v>
      </c>
      <c r="O28" s="18">
        <f t="shared" si="62"/>
        <v>12.5892541179417</v>
      </c>
      <c r="P28" s="86" t="str">
        <f t="shared" si="50"/>
        <v>75</v>
      </c>
      <c r="Q28" s="4" t="str">
        <f t="shared" si="51"/>
        <v>1+0,129197673620262i</v>
      </c>
      <c r="R28" s="4">
        <f t="shared" si="63"/>
        <v>1.00831147909209</v>
      </c>
      <c r="S28" s="4">
        <f t="shared" si="64"/>
        <v>0.128485930869396</v>
      </c>
      <c r="T28" s="4" t="str">
        <f t="shared" si="52"/>
        <v>1+0,00124029766675452i</v>
      </c>
      <c r="U28" s="4">
        <f t="shared" si="65"/>
        <v>1.00000076916886</v>
      </c>
      <c r="V28" s="4">
        <f t="shared" si="66"/>
        <v>0.00124029703075597</v>
      </c>
      <c r="W28" t="str">
        <f t="shared" si="53"/>
        <v>1-0,000650602570730607i</v>
      </c>
      <c r="X28" s="4">
        <f t="shared" si="67"/>
        <v>1.00000021164183</v>
      </c>
      <c r="Y28" s="4">
        <f t="shared" si="68"/>
        <v>-0.000650602478934141</v>
      </c>
      <c r="Z28" t="str">
        <f t="shared" si="54"/>
        <v>0,99999999870621+0,000204160305490478i</v>
      </c>
      <c r="AA28" s="4">
        <f t="shared" si="69"/>
        <v>1.00000001954693</v>
      </c>
      <c r="AB28" s="4">
        <f t="shared" si="70"/>
        <v>0.000204160302918054</v>
      </c>
      <c r="AC28" s="67" t="str">
        <f t="shared" si="71"/>
        <v>73,7723906714768-9,50230615641345i</v>
      </c>
      <c r="AD28" s="68">
        <f t="shared" si="72"/>
        <v>37.4293393886638</v>
      </c>
      <c r="AE28" s="31">
        <f t="shared" si="73"/>
        <v>-7.33961208030611</v>
      </c>
      <c r="AF28" s="32" t="str">
        <f t="shared" si="74"/>
        <v>249,914648392112</v>
      </c>
      <c r="AG28" s="32" t="str">
        <f t="shared" si="55"/>
        <v>1+0,0830556473273114i</v>
      </c>
      <c r="AH28" s="32">
        <f t="shared" si="75"/>
        <v>1.00344319248922</v>
      </c>
      <c r="AI28" s="32">
        <f t="shared" si="76"/>
        <v>0.0828654546277013</v>
      </c>
      <c r="AJ28" s="32" t="str">
        <f t="shared" si="56"/>
        <v>1+0,00124029766675452i</v>
      </c>
      <c r="AK28" s="32">
        <f t="shared" si="77"/>
        <v>1.00000076916886</v>
      </c>
      <c r="AL28" s="32">
        <f t="shared" si="78"/>
        <v>0.00124029703075597</v>
      </c>
      <c r="AM28" s="32" t="str">
        <f t="shared" si="57"/>
        <v>1-0,000125514936637822i</v>
      </c>
      <c r="AN28" s="32">
        <f t="shared" si="79"/>
        <v>1.000000007877</v>
      </c>
      <c r="AO28" s="32">
        <f t="shared" si="80"/>
        <v>-0.000125514935978701</v>
      </c>
      <c r="AP28" s="30" t="str">
        <f t="shared" si="81"/>
        <v>248,225507384179-20,3379296649126i</v>
      </c>
      <c r="AQ28" s="32">
        <f t="shared" si="82"/>
        <v>47.9259851781222</v>
      </c>
      <c r="AR28" s="31">
        <f t="shared" si="83"/>
        <v>-4.68396850849261</v>
      </c>
      <c r="AS28" t="str">
        <f t="shared" si="58"/>
        <v>-0,000100699300699301</v>
      </c>
      <c r="AT28" t="str">
        <f t="shared" si="59"/>
        <v>0,0000177739085280447i</v>
      </c>
      <c r="AU28">
        <f t="shared" si="84"/>
        <v>1.77739085280447e-5</v>
      </c>
      <c r="AV28">
        <f t="shared" si="85"/>
        <v>1.5707963267949</v>
      </c>
      <c r="AW28" t="str">
        <f t="shared" si="60"/>
        <v>1+0,000909991516057814i</v>
      </c>
      <c r="AX28">
        <f t="shared" si="86"/>
        <v>1.00000041404219</v>
      </c>
      <c r="AY28">
        <f t="shared" si="87"/>
        <v>0.000909991264874631</v>
      </c>
      <c r="AZ28" t="str">
        <f t="shared" si="61"/>
        <v>1+0,0435053390762107i</v>
      </c>
      <c r="BA28">
        <f t="shared" si="88"/>
        <v>1.00094590989131</v>
      </c>
      <c r="BB28">
        <f t="shared" si="89"/>
        <v>0.0434779224754545</v>
      </c>
      <c r="BC28" s="30" t="str">
        <f t="shared" si="90"/>
        <v>-0,241326670139267+5,66578835395385i</v>
      </c>
      <c r="BD28" s="32">
        <f t="shared" si="91"/>
        <v>15.0730788662765</v>
      </c>
      <c r="BE28" s="31">
        <f t="shared" si="92"/>
        <v>92.4389628009694</v>
      </c>
      <c r="BF28" s="30" t="str">
        <f t="shared" si="93"/>
        <v>36,0348101677507+420,271911813158i</v>
      </c>
      <c r="BG28" s="68">
        <f t="shared" si="94"/>
        <v>52.5024182549403</v>
      </c>
      <c r="BH28" s="31">
        <f t="shared" si="95"/>
        <v>85.0993507206633</v>
      </c>
      <c r="BI28" s="30" t="str">
        <f t="shared" si="96"/>
        <v>55,3269698983404+1411,30127373513i</v>
      </c>
      <c r="BJ28" s="68">
        <f t="shared" si="97"/>
        <v>62.9990640443987</v>
      </c>
      <c r="BK28" s="31">
        <f t="shared" si="98"/>
        <v>87.7549942924768</v>
      </c>
      <c r="BL28" s="32">
        <f t="shared" si="99"/>
        <v>52.5024182549403</v>
      </c>
      <c r="BM28" s="31">
        <f t="shared" si="100"/>
        <v>85.0993507206633</v>
      </c>
      <c r="BO28">
        <f t="shared" si="101"/>
        <v>0</v>
      </c>
      <c r="BP28">
        <f t="shared" si="102"/>
        <v>0</v>
      </c>
    </row>
    <row r="29" spans="1:68">
      <c r="B29" s="13"/>
      <c r="C29" s="16"/>
      <c r="N29" s="7">
        <v>11</v>
      </c>
      <c r="O29" s="18">
        <f t="shared" si="62"/>
        <v>12.8824955169313</v>
      </c>
      <c r="P29" s="86" t="str">
        <f t="shared" si="50"/>
        <v>75</v>
      </c>
      <c r="Q29" s="4" t="str">
        <f t="shared" si="51"/>
        <v>1+0,13220707403459i</v>
      </c>
      <c r="R29" s="4">
        <f t="shared" si="63"/>
        <v>1.00870149718576</v>
      </c>
      <c r="S29" s="4">
        <f t="shared" si="64"/>
        <v>0.131444782806027</v>
      </c>
      <c r="T29" s="4" t="str">
        <f t="shared" si="52"/>
        <v>1+0,00126918791073206i</v>
      </c>
      <c r="U29" s="4">
        <f t="shared" si="65"/>
        <v>1.00000080541865</v>
      </c>
      <c r="V29" s="4">
        <f t="shared" si="66"/>
        <v>0.00126918722924737</v>
      </c>
      <c r="W29" t="str">
        <f t="shared" si="53"/>
        <v>1-0,000665757051388469i</v>
      </c>
      <c r="X29" s="4">
        <f t="shared" si="67"/>
        <v>1.0000002216162</v>
      </c>
      <c r="Y29" s="4">
        <f t="shared" si="68"/>
        <v>-0.000665756953026785</v>
      </c>
      <c r="Z29" t="str">
        <f t="shared" si="54"/>
        <v>0,999999998645235+0,000208915809910303i</v>
      </c>
      <c r="AA29" s="4">
        <f t="shared" si="69"/>
        <v>1.00000002046814</v>
      </c>
      <c r="AB29" s="4">
        <f t="shared" si="70"/>
        <v>0.000208915807153901</v>
      </c>
      <c r="AC29" s="67" t="str">
        <f t="shared" si="71"/>
        <v>73,7155290932239-9,71612579813149i</v>
      </c>
      <c r="AD29" s="68">
        <f t="shared" si="72"/>
        <v>37.4259807019751</v>
      </c>
      <c r="AE29" s="31">
        <f t="shared" si="73"/>
        <v>-7.50862727976475</v>
      </c>
      <c r="AF29" s="32" t="str">
        <f t="shared" si="74"/>
        <v>249,914648392112</v>
      </c>
      <c r="AG29" s="32" t="str">
        <f t="shared" si="55"/>
        <v>1+0,084990261879379i</v>
      </c>
      <c r="AH29" s="32">
        <f t="shared" si="75"/>
        <v>1.00360517366857</v>
      </c>
      <c r="AI29" s="32">
        <f t="shared" si="76"/>
        <v>0.0847865062478688</v>
      </c>
      <c r="AJ29" s="32" t="str">
        <f t="shared" si="56"/>
        <v>1+0,00126918791073206i</v>
      </c>
      <c r="AK29" s="32">
        <f t="shared" si="77"/>
        <v>1.00000080541865</v>
      </c>
      <c r="AL29" s="32">
        <f t="shared" si="78"/>
        <v>0.00126918722924737</v>
      </c>
      <c r="AM29" s="32" t="str">
        <f t="shared" si="57"/>
        <v>1-0,000128438555088045i</v>
      </c>
      <c r="AN29" s="32">
        <f t="shared" si="79"/>
        <v>1.00000000824823</v>
      </c>
      <c r="AO29" s="32">
        <f t="shared" si="80"/>
        <v>-0.000128438554381784</v>
      </c>
      <c r="AP29" s="30" t="str">
        <f t="shared" si="81"/>
        <v>248,146471524275-20,8049436251727i</v>
      </c>
      <c r="AQ29" s="32">
        <f t="shared" si="82"/>
        <v>47.9245834864967</v>
      </c>
      <c r="AR29" s="31">
        <f t="shared" si="83"/>
        <v>-4.79254888310753</v>
      </c>
      <c r="AS29" t="str">
        <f t="shared" si="58"/>
        <v>-0,000100699300699301</v>
      </c>
      <c r="AT29" t="str">
        <f t="shared" si="59"/>
        <v>0,0000181879160421871i</v>
      </c>
      <c r="AU29">
        <f t="shared" si="84"/>
        <v>1.81879160421871e-5</v>
      </c>
      <c r="AV29">
        <f t="shared" si="85"/>
        <v>1.5707963267949</v>
      </c>
      <c r="AW29" t="str">
        <f t="shared" si="60"/>
        <v>1+0,000931187941416894i</v>
      </c>
      <c r="AX29">
        <f t="shared" si="86"/>
        <v>1.0000004335554</v>
      </c>
      <c r="AY29">
        <f t="shared" si="87"/>
        <v>0.000931187672269271</v>
      </c>
      <c r="AZ29" t="str">
        <f t="shared" si="61"/>
        <v>1+0,0445187086034842i</v>
      </c>
      <c r="BA29">
        <f t="shared" si="88"/>
        <v>1.00099046719523</v>
      </c>
      <c r="BB29">
        <f t="shared" si="89"/>
        <v>0.0444893327562235</v>
      </c>
      <c r="BC29" s="30" t="str">
        <f t="shared" si="90"/>
        <v>-0,241326660721158+5,53682937962085i</v>
      </c>
      <c r="BD29" s="32">
        <f t="shared" si="91"/>
        <v>14.8734653422659</v>
      </c>
      <c r="BE29" s="31">
        <f t="shared" si="92"/>
        <v>92.4956978767291</v>
      </c>
      <c r="BF29" s="30" t="str">
        <f t="shared" si="93"/>
        <v>36,0070082958254+410,495067411667i</v>
      </c>
      <c r="BG29" s="68">
        <f t="shared" si="94"/>
        <v>52.299446044241</v>
      </c>
      <c r="BH29" s="31">
        <f t="shared" si="95"/>
        <v>84.9870705969643</v>
      </c>
      <c r="BI29" s="30" t="str">
        <f t="shared" si="96"/>
        <v>55,3090637625205+1378,96546155641i</v>
      </c>
      <c r="BJ29" s="68">
        <f t="shared" si="97"/>
        <v>62.7980488287626</v>
      </c>
      <c r="BK29" s="31">
        <f t="shared" si="98"/>
        <v>87.7031489936216</v>
      </c>
      <c r="BL29" s="32">
        <f t="shared" si="99"/>
        <v>52.299446044241</v>
      </c>
      <c r="BM29" s="31">
        <f t="shared" si="100"/>
        <v>84.9870705969643</v>
      </c>
      <c r="BO29">
        <f t="shared" si="101"/>
        <v>0</v>
      </c>
      <c r="BP29">
        <f t="shared" si="102"/>
        <v>0</v>
      </c>
    </row>
    <row r="30" spans="1:68">
      <c r="A30" t="s">
        <v>486</v>
      </c>
      <c r="B30" s="10">
        <f>Gcomp</f>
        <v>0.9</v>
      </c>
      <c r="C30" s="16"/>
      <c r="E30" t="s">
        <v>487</v>
      </c>
      <c r="N30" s="7">
        <v>12</v>
      </c>
      <c r="O30" s="18">
        <f t="shared" si="62"/>
        <v>13.1825673855641</v>
      </c>
      <c r="P30" s="86" t="str">
        <f t="shared" si="50"/>
        <v>75</v>
      </c>
      <c r="Q30" s="4" t="str">
        <f t="shared" si="51"/>
        <v>1+0,135286572389539i</v>
      </c>
      <c r="R30" s="4">
        <f t="shared" si="63"/>
        <v>1.00910973470129</v>
      </c>
      <c r="S30" s="4">
        <f t="shared" si="64"/>
        <v>0.134470160341256</v>
      </c>
      <c r="T30" s="4" t="str">
        <f t="shared" si="52"/>
        <v>1+0,00129875109493958i</v>
      </c>
      <c r="U30" s="4">
        <f t="shared" si="65"/>
        <v>1.00000084337685</v>
      </c>
      <c r="V30" s="4">
        <f t="shared" si="66"/>
        <v>0.00129875036471561</v>
      </c>
      <c r="W30" t="str">
        <f t="shared" si="53"/>
        <v>1-0,000681264525247323i</v>
      </c>
      <c r="X30" s="4">
        <f t="shared" si="67"/>
        <v>1.00000023206065</v>
      </c>
      <c r="Y30" s="4">
        <f t="shared" si="68"/>
        <v>-0.000681264419850881</v>
      </c>
      <c r="Z30" t="str">
        <f t="shared" si="54"/>
        <v>0,999999998581387+0,000213782084257872i</v>
      </c>
      <c r="AA30" s="4">
        <f t="shared" si="69"/>
        <v>1.00000002143278</v>
      </c>
      <c r="AB30" s="4">
        <f t="shared" si="70"/>
        <v>0.000213782081304334</v>
      </c>
      <c r="AC30" s="67" t="str">
        <f t="shared" si="71"/>
        <v>73,6560818744252-9,93440103157674i</v>
      </c>
      <c r="AD30" s="68">
        <f t="shared" si="72"/>
        <v>37.4224665076958</v>
      </c>
      <c r="AE30" s="31">
        <f t="shared" si="73"/>
        <v>-7.6814421304463</v>
      </c>
      <c r="AF30" s="32" t="str">
        <f t="shared" si="74"/>
        <v>249,914648392112</v>
      </c>
      <c r="AG30" s="32" t="str">
        <f t="shared" si="55"/>
        <v>1+0,0869699393932752i</v>
      </c>
      <c r="AH30" s="32">
        <f t="shared" si="75"/>
        <v>1.0037747607696</v>
      </c>
      <c r="AI30" s="32">
        <f t="shared" si="76"/>
        <v>0.0867516556193674</v>
      </c>
      <c r="AJ30" s="32" t="str">
        <f t="shared" si="56"/>
        <v>1+0,00129875109493958i</v>
      </c>
      <c r="AK30" s="32">
        <f t="shared" si="77"/>
        <v>1.00000084337685</v>
      </c>
      <c r="AL30" s="32">
        <f t="shared" si="78"/>
        <v>0.00129875036471561</v>
      </c>
      <c r="AM30" s="32" t="str">
        <f t="shared" si="57"/>
        <v>1-0,000131430273360263i</v>
      </c>
      <c r="AN30" s="32">
        <f t="shared" si="79"/>
        <v>1.00000000863696</v>
      </c>
      <c r="AO30" s="32">
        <f t="shared" si="80"/>
        <v>-0.000131430272603491</v>
      </c>
      <c r="AP30" s="30" t="str">
        <f t="shared" si="81"/>
        <v>248,063765485283-21,2823600772369i</v>
      </c>
      <c r="AQ30" s="32">
        <f t="shared" si="82"/>
        <v>47.9231162201203</v>
      </c>
      <c r="AR30" s="31">
        <f t="shared" si="83"/>
        <v>-4.90362121814328</v>
      </c>
      <c r="AS30" t="str">
        <f t="shared" si="58"/>
        <v>-0,000100699300699301</v>
      </c>
      <c r="AT30" t="str">
        <f t="shared" si="59"/>
        <v>0,0000186115670301609i</v>
      </c>
      <c r="AU30">
        <f t="shared" si="84"/>
        <v>1.86115670301609e-5</v>
      </c>
      <c r="AV30">
        <f t="shared" si="85"/>
        <v>1.5707963267949</v>
      </c>
      <c r="AW30" t="str">
        <f t="shared" si="60"/>
        <v>1+0,000952878094948255i</v>
      </c>
      <c r="AX30">
        <f t="shared" si="86"/>
        <v>1.00000045398823</v>
      </c>
      <c r="AY30">
        <f t="shared" si="87"/>
        <v>0.000952877806551388</v>
      </c>
      <c r="AZ30" t="str">
        <f t="shared" si="61"/>
        <v>1+0,0455556825393346i</v>
      </c>
      <c r="BA30">
        <f t="shared" si="88"/>
        <v>1.00103712229449</v>
      </c>
      <c r="BB30">
        <f t="shared" si="89"/>
        <v>0.0455242075129278</v>
      </c>
      <c r="BC30" s="30" t="str">
        <f t="shared" si="90"/>
        <v>-0,241326650859189+5,4108061055126i</v>
      </c>
      <c r="BD30" s="32">
        <f t="shared" si="91"/>
        <v>14.6738699954167</v>
      </c>
      <c r="BE30" s="31">
        <f t="shared" si="92"/>
        <v>92.5537490794615</v>
      </c>
      <c r="BF30" s="30" t="str">
        <f t="shared" si="93"/>
        <v>35,9779422021009+400,936213243518i</v>
      </c>
      <c r="BG30" s="68">
        <f t="shared" si="94"/>
        <v>52.0963365031125</v>
      </c>
      <c r="BH30" s="31">
        <f t="shared" si="95"/>
        <v>84.8723069490151</v>
      </c>
      <c r="BI30" s="30" t="str">
        <f t="shared" si="96"/>
        <v>55,2903261215484+1347,36093752403i</v>
      </c>
      <c r="BJ30" s="68">
        <f t="shared" si="97"/>
        <v>62.596986215537</v>
      </c>
      <c r="BK30" s="31">
        <f t="shared" si="98"/>
        <v>87.6501278613182</v>
      </c>
      <c r="BL30" s="32">
        <f t="shared" si="99"/>
        <v>52.0963365031125</v>
      </c>
      <c r="BM30" s="31">
        <f t="shared" si="100"/>
        <v>84.8723069490151</v>
      </c>
      <c r="BO30">
        <f t="shared" si="101"/>
        <v>0</v>
      </c>
      <c r="BP30">
        <f t="shared" si="102"/>
        <v>0</v>
      </c>
    </row>
    <row r="31" spans="1:68">
      <c r="A31" t="s">
        <v>436</v>
      </c>
      <c r="B31">
        <v>1</v>
      </c>
      <c r="E31" t="s">
        <v>488</v>
      </c>
      <c r="N31" s="7">
        <v>13</v>
      </c>
      <c r="O31" s="18">
        <f t="shared" si="62"/>
        <v>13.4896288259165</v>
      </c>
      <c r="P31" s="86" t="str">
        <f t="shared" si="50"/>
        <v>75</v>
      </c>
      <c r="Q31" s="4" t="str">
        <f t="shared" si="51"/>
        <v>1+0,138437801475898i</v>
      </c>
      <c r="R31" s="4">
        <f t="shared" si="63"/>
        <v>1.0095370349212</v>
      </c>
      <c r="S31" s="4">
        <f t="shared" si="64"/>
        <v>0.137563445925127</v>
      </c>
      <c r="T31" s="4" t="str">
        <f t="shared" si="52"/>
        <v>1+0,00132900289416862i</v>
      </c>
      <c r="U31" s="4">
        <f t="shared" si="65"/>
        <v>1.00000088312396</v>
      </c>
      <c r="V31" s="4">
        <f t="shared" si="66"/>
        <v>0.00132900211171957</v>
      </c>
      <c r="W31" t="str">
        <f t="shared" si="53"/>
        <v>1-0,000697133214575057i</v>
      </c>
      <c r="X31" s="4">
        <f t="shared" si="67"/>
        <v>1.00000024299733</v>
      </c>
      <c r="Y31" s="4">
        <f t="shared" si="68"/>
        <v>-0.000697133101640736</v>
      </c>
      <c r="Z31" t="str">
        <f t="shared" si="54"/>
        <v>0,99999999851453+0,000218761708696253i</v>
      </c>
      <c r="AA31" s="4">
        <f t="shared" si="69"/>
        <v>1.00000002244287</v>
      </c>
      <c r="AB31" s="4">
        <f t="shared" si="70"/>
        <v>0.00021876170553148</v>
      </c>
      <c r="AC31" s="67" t="str">
        <f t="shared" si="71"/>
        <v>73,5939359917511-10,1571996195008i</v>
      </c>
      <c r="AD31" s="68">
        <f t="shared" si="72"/>
        <v>37.4187897404861</v>
      </c>
      <c r="AE31" s="31">
        <f t="shared" si="73"/>
        <v>-7.85813556174929</v>
      </c>
      <c r="AF31" s="32" t="str">
        <f t="shared" si="74"/>
        <v>249,914648392112</v>
      </c>
      <c r="AG31" s="32" t="str">
        <f t="shared" si="55"/>
        <v>1+0,08899572952022i</v>
      </c>
      <c r="AH31" s="32">
        <f t="shared" si="75"/>
        <v>1.00395230956099</v>
      </c>
      <c r="AI31" s="32">
        <f t="shared" si="76"/>
        <v>0.0887618839443978</v>
      </c>
      <c r="AJ31" s="32" t="str">
        <f t="shared" si="56"/>
        <v>1+0,00132900289416862i</v>
      </c>
      <c r="AK31" s="32">
        <f t="shared" si="77"/>
        <v>1.00000088312396</v>
      </c>
      <c r="AL31" s="32">
        <f t="shared" si="78"/>
        <v>0.00132900211171957</v>
      </c>
      <c r="AM31" s="32" t="str">
        <f t="shared" si="57"/>
        <v>1-0,0001344916777031i</v>
      </c>
      <c r="AN31" s="32">
        <f t="shared" si="79"/>
        <v>1.00000000904401</v>
      </c>
      <c r="AO31" s="32">
        <f t="shared" si="80"/>
        <v>-0.000134491676892204</v>
      </c>
      <c r="AP31" s="30" t="str">
        <f t="shared" si="81"/>
        <v>247,977221510313-21,7703878820441i</v>
      </c>
      <c r="AQ31" s="32">
        <f t="shared" si="82"/>
        <v>47.921580334977</v>
      </c>
      <c r="AR31" s="31">
        <f t="shared" si="83"/>
        <v>-5.01724092514408</v>
      </c>
      <c r="AS31" t="str">
        <f t="shared" si="58"/>
        <v>-0,000100699300699301</v>
      </c>
      <c r="AT31" t="str">
        <f t="shared" si="59"/>
        <v>0,0000190450861173271i</v>
      </c>
      <c r="AU31">
        <f t="shared" si="84"/>
        <v>1.90450861173271e-5</v>
      </c>
      <c r="AV31">
        <f t="shared" si="85"/>
        <v>1.5707963267949</v>
      </c>
      <c r="AW31" t="str">
        <f t="shared" si="60"/>
        <v>1+0,00097507347705838i</v>
      </c>
      <c r="AX31">
        <f t="shared" si="86"/>
        <v>1.00000047538403</v>
      </c>
      <c r="AY31">
        <f t="shared" si="87"/>
        <v>0.000975073168035577</v>
      </c>
      <c r="AZ31" t="str">
        <f t="shared" si="61"/>
        <v>1+0,0466168107010676i</v>
      </c>
      <c r="BA31">
        <f t="shared" si="88"/>
        <v>1.00108597385037</v>
      </c>
      <c r="BB31">
        <f t="shared" si="89"/>
        <v>0.0465830865782907</v>
      </c>
      <c r="BC31" s="30" t="str">
        <f t="shared" si="90"/>
        <v>-0,24132664053244+5,28765171242116i</v>
      </c>
      <c r="BD31" s="32">
        <f t="shared" si="91"/>
        <v>14.4742936788408</v>
      </c>
      <c r="BE31" s="31">
        <f t="shared" si="92"/>
        <v>92.6131466803837</v>
      </c>
      <c r="BF31" s="30" t="str">
        <f t="shared" si="93"/>
        <v>35,9475566250082+391,590304531987i</v>
      </c>
      <c r="BG31" s="68">
        <f t="shared" si="94"/>
        <v>51.8930834193269</v>
      </c>
      <c r="BH31" s="31">
        <f t="shared" si="95"/>
        <v>84.7550111186344</v>
      </c>
      <c r="BI31" s="30" t="str">
        <f t="shared" si="96"/>
        <v>55,2707189689108+1316,47095453111i</v>
      </c>
      <c r="BJ31" s="68">
        <f t="shared" si="97"/>
        <v>62.3958740138178</v>
      </c>
      <c r="BK31" s="31">
        <f t="shared" si="98"/>
        <v>87.5959057552396</v>
      </c>
      <c r="BL31" s="32">
        <f t="shared" si="99"/>
        <v>51.8930834193269</v>
      </c>
      <c r="BM31" s="31">
        <f t="shared" si="100"/>
        <v>84.7550111186344</v>
      </c>
      <c r="BO31">
        <f t="shared" si="101"/>
        <v>0</v>
      </c>
      <c r="BP31">
        <f t="shared" si="102"/>
        <v>0</v>
      </c>
    </row>
    <row r="32" ht="15.75" spans="1:68">
      <c r="A32" s="87" t="s">
        <v>489</v>
      </c>
      <c r="N32" s="7">
        <v>14</v>
      </c>
      <c r="O32" s="18">
        <f t="shared" si="62"/>
        <v>13.8038426460289</v>
      </c>
      <c r="P32" s="86" t="str">
        <f t="shared" si="50"/>
        <v>75</v>
      </c>
      <c r="Q32" s="4" t="str">
        <f t="shared" si="51"/>
        <v>1+0,141662432117041i</v>
      </c>
      <c r="R32" s="4">
        <f t="shared" si="63"/>
        <v>1.0099842794189</v>
      </c>
      <c r="S32" s="4">
        <f t="shared" si="64"/>
        <v>0.140726042751171</v>
      </c>
      <c r="T32" s="4" t="str">
        <f t="shared" si="52"/>
        <v>1+0,0013599593483236i</v>
      </c>
      <c r="U32" s="4">
        <f t="shared" si="65"/>
        <v>1.00000092474429</v>
      </c>
      <c r="V32" s="4">
        <f t="shared" si="66"/>
        <v>0.00135995850991438</v>
      </c>
      <c r="W32" t="str">
        <f t="shared" si="53"/>
        <v>1-0,000713371533160816i</v>
      </c>
      <c r="X32" s="4">
        <f t="shared" si="67"/>
        <v>1.00000025444944</v>
      </c>
      <c r="Y32" s="4">
        <f t="shared" si="68"/>
        <v>-0.000713371412149513</v>
      </c>
      <c r="Z32" t="str">
        <f t="shared" si="54"/>
        <v>0,999999998444522+0,000223857323488241i</v>
      </c>
      <c r="AA32" s="4">
        <f t="shared" si="69"/>
        <v>1.00000002350057</v>
      </c>
      <c r="AB32" s="4">
        <f t="shared" si="70"/>
        <v>0.000223857320097126</v>
      </c>
      <c r="AC32" s="67" t="str">
        <f t="shared" si="71"/>
        <v>73,528973911385-10,3845885063355i</v>
      </c>
      <c r="AD32" s="68">
        <f t="shared" si="72"/>
        <v>37.4149430267322</v>
      </c>
      <c r="AE32" s="31">
        <f t="shared" si="73"/>
        <v>-8.03878768508482</v>
      </c>
      <c r="AF32" s="32" t="str">
        <f t="shared" si="74"/>
        <v>249,914648392112</v>
      </c>
      <c r="AG32" s="32" t="str">
        <f t="shared" si="55"/>
        <v>1+0,0910687063609551i</v>
      </c>
      <c r="AH32" s="32">
        <f t="shared" si="75"/>
        <v>1.00413819232128</v>
      </c>
      <c r="AI32" s="32">
        <f t="shared" si="76"/>
        <v>0.0908181920496577</v>
      </c>
      <c r="AJ32" s="32" t="str">
        <f t="shared" si="56"/>
        <v>1+0,0013599593483236i</v>
      </c>
      <c r="AK32" s="32">
        <f t="shared" si="77"/>
        <v>1.00000092474429</v>
      </c>
      <c r="AL32" s="32">
        <f t="shared" si="78"/>
        <v>0.00135995850991438</v>
      </c>
      <c r="AM32" s="32" t="str">
        <f t="shared" si="57"/>
        <v>1-0,000137624391313665i</v>
      </c>
      <c r="AN32" s="32">
        <f t="shared" si="79"/>
        <v>1.00000000947024</v>
      </c>
      <c r="AO32" s="32">
        <f t="shared" si="80"/>
        <v>-0.000137624390444775</v>
      </c>
      <c r="AP32" s="30" t="str">
        <f t="shared" si="81"/>
        <v>247,886664430402-22,2692384428103i</v>
      </c>
      <c r="AQ32" s="32">
        <f t="shared" si="82"/>
        <v>47.9199726480169</v>
      </c>
      <c r="AR32" s="31">
        <f t="shared" si="83"/>
        <v>-5.13346452125349</v>
      </c>
      <c r="AS32" t="str">
        <f t="shared" si="58"/>
        <v>-0,000100699300699301</v>
      </c>
      <c r="AT32" t="str">
        <f t="shared" si="59"/>
        <v>0,0000194887031612444i</v>
      </c>
      <c r="AU32">
        <f t="shared" si="84"/>
        <v>1.94887031612444e-5</v>
      </c>
      <c r="AV32">
        <f t="shared" si="85"/>
        <v>1.5707963267949</v>
      </c>
      <c r="AW32" t="str">
        <f t="shared" si="60"/>
        <v>1+0,000997785856032675i</v>
      </c>
      <c r="AX32">
        <f t="shared" si="86"/>
        <v>1.00000049778818</v>
      </c>
      <c r="AY32">
        <f t="shared" si="87"/>
        <v>0.000997785524908785</v>
      </c>
      <c r="AZ32" t="str">
        <f t="shared" si="61"/>
        <v>1+0,0477026557128812i</v>
      </c>
      <c r="BA32">
        <f t="shared" si="88"/>
        <v>1.00113712515422</v>
      </c>
      <c r="BB32">
        <f t="shared" si="89"/>
        <v>0.0476665218806739</v>
      </c>
      <c r="BC32" s="30" t="str">
        <f t="shared" si="90"/>
        <v>-0,241326629719007+5,16730090225699i</v>
      </c>
      <c r="BD32" s="32">
        <f t="shared" si="91"/>
        <v>14.274737285514</v>
      </c>
      <c r="BE32" s="31">
        <f t="shared" si="92"/>
        <v>92.6739216283941</v>
      </c>
      <c r="BF32" s="30" t="str">
        <f t="shared" si="93"/>
        <v>35,9157940976237+382,452410979583i</v>
      </c>
      <c r="BG32" s="68">
        <f t="shared" si="94"/>
        <v>51.6896803122462</v>
      </c>
      <c r="BH32" s="31">
        <f t="shared" si="95"/>
        <v>84.6351339433093</v>
      </c>
      <c r="BI32" s="30" t="str">
        <f t="shared" si="96"/>
        <v>55,2502026188343+1286,2791450285i</v>
      </c>
      <c r="BJ32" s="68">
        <f t="shared" si="97"/>
        <v>62.1947099335308</v>
      </c>
      <c r="BK32" s="31">
        <f t="shared" si="98"/>
        <v>87.5404571071406</v>
      </c>
      <c r="BL32" s="32">
        <f t="shared" si="99"/>
        <v>51.6896803122462</v>
      </c>
      <c r="BM32" s="31">
        <f t="shared" si="100"/>
        <v>84.6351339433093</v>
      </c>
      <c r="BO32">
        <f t="shared" si="101"/>
        <v>0</v>
      </c>
      <c r="BP32">
        <f t="shared" si="102"/>
        <v>0</v>
      </c>
    </row>
    <row r="33" spans="1:68">
      <c r="N33" s="7">
        <v>15</v>
      </c>
      <c r="O33" s="18">
        <f t="shared" si="62"/>
        <v>14.1253754462275</v>
      </c>
      <c r="P33" s="86" t="str">
        <f t="shared" si="50"/>
        <v>75</v>
      </c>
      <c r="Q33" s="4" t="str">
        <f t="shared" si="51"/>
        <v>1+0,144962174054815i</v>
      </c>
      <c r="R33" s="4">
        <f t="shared" si="63"/>
        <v>1.01045238972784</v>
      </c>
      <c r="S33" s="4">
        <f t="shared" si="64"/>
        <v>0.143959374478547</v>
      </c>
      <c r="T33" s="4" t="str">
        <f t="shared" si="52"/>
        <v>1+0,00139163687092623i</v>
      </c>
      <c r="U33" s="4">
        <f t="shared" si="65"/>
        <v>1.00000096832612</v>
      </c>
      <c r="V33" s="4">
        <f t="shared" si="66"/>
        <v>0.00139163597255462</v>
      </c>
      <c r="W33" t="str">
        <f t="shared" si="53"/>
        <v>1-0,000729988090776035i</v>
      </c>
      <c r="X33" s="4">
        <f t="shared" si="67"/>
        <v>1.00000026644127</v>
      </c>
      <c r="Y33" s="4">
        <f t="shared" si="68"/>
        <v>-0.000729987961110089</v>
      </c>
      <c r="Z33" t="str">
        <f t="shared" si="54"/>
        <v>0,999999998371214+0,000229071630396241i</v>
      </c>
      <c r="AA33" s="4">
        <f t="shared" si="69"/>
        <v>1.00000002460812</v>
      </c>
      <c r="AB33" s="4">
        <f t="shared" si="70"/>
        <v>0.000229071626762596</v>
      </c>
      <c r="AC33" s="67" t="str">
        <f t="shared" si="71"/>
        <v>73,4610734500202-10,6166336486146i</v>
      </c>
      <c r="AD33" s="68">
        <f t="shared" si="72"/>
        <v>37.4109186722981</v>
      </c>
      <c r="AE33" s="31">
        <f t="shared" si="73"/>
        <v>-8.22347977780481</v>
      </c>
      <c r="AF33" s="32" t="str">
        <f t="shared" si="74"/>
        <v>249,914648392112</v>
      </c>
      <c r="AG33" s="32" t="str">
        <f t="shared" si="55"/>
        <v>1+0,0931899690352384i</v>
      </c>
      <c r="AH33" s="32">
        <f t="shared" si="75"/>
        <v>1.00433279859257</v>
      </c>
      <c r="AI33" s="32">
        <f t="shared" si="76"/>
        <v>0.0929216006192357</v>
      </c>
      <c r="AJ33" s="32" t="str">
        <f t="shared" si="56"/>
        <v>1+0,00139163687092623i</v>
      </c>
      <c r="AK33" s="32">
        <f t="shared" si="77"/>
        <v>1.00000096832612</v>
      </c>
      <c r="AL33" s="32">
        <f t="shared" si="78"/>
        <v>0.00139163597255462</v>
      </c>
      <c r="AM33" s="32" t="str">
        <f t="shared" si="57"/>
        <v>1-0,000140830075198177i</v>
      </c>
      <c r="AN33" s="32">
        <f t="shared" si="79"/>
        <v>1.00000000991655</v>
      </c>
      <c r="AO33" s="32">
        <f t="shared" si="80"/>
        <v>-0.000140830074267144</v>
      </c>
      <c r="AP33" s="30" t="str">
        <f t="shared" si="81"/>
        <v>247,791911361555-22,779125606405i</v>
      </c>
      <c r="AQ33" s="32">
        <f t="shared" si="82"/>
        <v>47.9182898310231</v>
      </c>
      <c r="AR33" s="31">
        <f t="shared" si="83"/>
        <v>-5.25234964212048</v>
      </c>
      <c r="AS33" t="str">
        <f t="shared" si="58"/>
        <v>-0,000100699300699301</v>
      </c>
      <c r="AT33" t="str">
        <f t="shared" si="59"/>
        <v>0,000019942653373541i</v>
      </c>
      <c r="AU33">
        <f t="shared" si="84"/>
        <v>1.9942653373541e-5</v>
      </c>
      <c r="AV33">
        <f t="shared" si="85"/>
        <v>1.5707963267949</v>
      </c>
      <c r="AW33" t="str">
        <f t="shared" si="60"/>
        <v>1+0,00102102727427508i</v>
      </c>
      <c r="AX33">
        <f t="shared" si="86"/>
        <v>1.00000052124821</v>
      </c>
      <c r="AY33">
        <f t="shared" si="87"/>
        <v>0.00102102691946945</v>
      </c>
      <c r="AZ33" t="str">
        <f t="shared" si="61"/>
        <v>1+0,0488137933041725i</v>
      </c>
      <c r="BA33">
        <f t="shared" si="88"/>
        <v>1.00119068434377</v>
      </c>
      <c r="BB33">
        <f t="shared" si="89"/>
        <v>0.0487750776918606</v>
      </c>
      <c r="BC33" s="30" t="str">
        <f t="shared" si="90"/>
        <v>-0,241326618395955+5,04968986342755i</v>
      </c>
      <c r="BD33" s="32">
        <f t="shared" si="91"/>
        <v>14.0752017501228</v>
      </c>
      <c r="BE33" s="31">
        <f t="shared" si="92"/>
        <v>92.7361055639115</v>
      </c>
      <c r="BF33" s="30" t="str">
        <f t="shared" si="93"/>
        <v>35,8825948797028+373,517714254243i</v>
      </c>
      <c r="BG33" s="68">
        <f t="shared" si="94"/>
        <v>51.4861204224209</v>
      </c>
      <c r="BH33" s="31">
        <f t="shared" si="95"/>
        <v>84.5126257861067</v>
      </c>
      <c r="BI33" s="30" t="str">
        <f t="shared" si="96"/>
        <v>55,228735637652+1256,76951239439i</v>
      </c>
      <c r="BJ33" s="68">
        <f t="shared" si="97"/>
        <v>61.9934915811459</v>
      </c>
      <c r="BK33" s="31">
        <f t="shared" si="98"/>
        <v>87.483755921791</v>
      </c>
      <c r="BL33" s="32">
        <f t="shared" si="99"/>
        <v>51.4861204224209</v>
      </c>
      <c r="BM33" s="31">
        <f t="shared" si="100"/>
        <v>84.5126257861067</v>
      </c>
      <c r="BO33">
        <f t="shared" si="101"/>
        <v>0</v>
      </c>
      <c r="BP33">
        <f t="shared" si="102"/>
        <v>0</v>
      </c>
    </row>
    <row r="34" spans="1:68">
      <c r="A34" t="s">
        <v>450</v>
      </c>
      <c r="B34" s="88">
        <f>(Gcomp*(VOUT/IOUT)*(1-DC_VIN_Var))/(R_cs*Acs*(1+DC_VIN_Var))</f>
        <v>75</v>
      </c>
      <c r="C34" t="s">
        <v>244</v>
      </c>
      <c r="E34" t="s">
        <v>490</v>
      </c>
      <c r="N34" s="7">
        <v>16</v>
      </c>
      <c r="O34" s="18">
        <f t="shared" si="62"/>
        <v>14.4543977074593</v>
      </c>
      <c r="P34" s="86" t="str">
        <f t="shared" si="50"/>
        <v>75</v>
      </c>
      <c r="Q34" s="4" t="str">
        <f t="shared" si="51"/>
        <v>1+0,148338776856076i</v>
      </c>
      <c r="R34" s="4">
        <f t="shared" si="63"/>
        <v>1.01094232907677</v>
      </c>
      <c r="S34" s="4">
        <f t="shared" si="64"/>
        <v>0.147264884900103</v>
      </c>
      <c r="T34" s="4" t="str">
        <f t="shared" si="52"/>
        <v>1+0,00142405225781833i</v>
      </c>
      <c r="U34" s="4">
        <f t="shared" si="65"/>
        <v>1.0000010139619</v>
      </c>
      <c r="V34" s="4">
        <f t="shared" si="66"/>
        <v>0.00142405129519586</v>
      </c>
      <c r="W34" t="str">
        <f t="shared" si="53"/>
        <v>1-0,000746991697739528i</v>
      </c>
      <c r="X34" s="4">
        <f t="shared" si="67"/>
        <v>1.00000027899826</v>
      </c>
      <c r="Y34" s="4">
        <f t="shared" si="68"/>
        <v>-0.000746991558799966</v>
      </c>
      <c r="Z34" t="str">
        <f t="shared" si="54"/>
        <v>0,999999998294452+0,000234407394114802i</v>
      </c>
      <c r="AA34" s="4">
        <f t="shared" si="69"/>
        <v>1.00000002576786</v>
      </c>
      <c r="AB34" s="4">
        <f t="shared" si="70"/>
        <v>0.000234407390221281</v>
      </c>
      <c r="AC34" s="67" t="str">
        <f t="shared" si="71"/>
        <v>73,390107635674-10,8533998330633i</v>
      </c>
      <c r="AD34" s="68">
        <f t="shared" si="72"/>
        <v>37.4067086499047</v>
      </c>
      <c r="AE34" s="31">
        <f t="shared" si="73"/>
        <v>-8.41229426402837</v>
      </c>
      <c r="AF34" s="32" t="str">
        <f t="shared" si="74"/>
        <v>249,914648392112</v>
      </c>
      <c r="AG34" s="32" t="str">
        <f t="shared" si="55"/>
        <v>1+0,0953606422646205i</v>
      </c>
      <c r="AH34" s="32">
        <f t="shared" si="75"/>
        <v>1.00453653596727</v>
      </c>
      <c r="AI34" s="32">
        <f t="shared" si="76"/>
        <v>0.0950731504177278</v>
      </c>
      <c r="AJ34" s="32" t="str">
        <f t="shared" si="56"/>
        <v>1+0,00142405225781833i</v>
      </c>
      <c r="AK34" s="32">
        <f t="shared" si="77"/>
        <v>1.0000010139619</v>
      </c>
      <c r="AL34" s="32">
        <f t="shared" si="78"/>
        <v>0.00142405129519586</v>
      </c>
      <c r="AM34" s="32" t="str">
        <f t="shared" si="57"/>
        <v>1-0,000144110429052667i</v>
      </c>
      <c r="AN34" s="32">
        <f t="shared" si="79"/>
        <v>1.00000001038391</v>
      </c>
      <c r="AO34" s="32">
        <f t="shared" si="80"/>
        <v>-0.000144110428055047</v>
      </c>
      <c r="AP34" s="30" t="str">
        <f t="shared" si="81"/>
        <v>247,692771391805-23,300265552128i</v>
      </c>
      <c r="AQ34" s="32">
        <f t="shared" si="82"/>
        <v>47.9165284042292</v>
      </c>
      <c r="AR34" s="31">
        <f t="shared" si="83"/>
        <v>-5.37395505423476</v>
      </c>
      <c r="AS34" t="str">
        <f t="shared" si="58"/>
        <v>-0,000100699300699301</v>
      </c>
      <c r="AT34" t="str">
        <f t="shared" si="59"/>
        <v>0,0000204071774446288i</v>
      </c>
      <c r="AU34">
        <f t="shared" si="84"/>
        <v>2.04071774446288e-5</v>
      </c>
      <c r="AV34">
        <f t="shared" si="85"/>
        <v>1.5707963267949</v>
      </c>
      <c r="AW34" t="str">
        <f t="shared" si="60"/>
        <v>1+0,00104481005469322i</v>
      </c>
      <c r="AX34">
        <f t="shared" si="86"/>
        <v>1.00000054581388</v>
      </c>
      <c r="AY34">
        <f t="shared" si="87"/>
        <v>0.00104480967451215</v>
      </c>
      <c r="AZ34" t="str">
        <f t="shared" si="61"/>
        <v>1+0,0499508126148012i</v>
      </c>
      <c r="BA34">
        <f t="shared" si="88"/>
        <v>1.00124676462942</v>
      </c>
      <c r="BB34">
        <f t="shared" si="89"/>
        <v>0.0499093308782242</v>
      </c>
      <c r="BC34" s="30" t="str">
        <f t="shared" si="90"/>
        <v>-0,241326606539263+4,93475623700309i</v>
      </c>
      <c r="BD34" s="32">
        <f t="shared" si="91"/>
        <v>13.8756880509935</v>
      </c>
      <c r="BE34" s="31">
        <f t="shared" si="92"/>
        <v>92.7997308329002</v>
      </c>
      <c r="BF34" s="30" t="str">
        <f t="shared" si="93"/>
        <v>35,847896889629+364,781505540597i</v>
      </c>
      <c r="BG34" s="68">
        <f t="shared" si="94"/>
        <v>51.2823967008982</v>
      </c>
      <c r="BH34" s="31">
        <f t="shared" si="95"/>
        <v>84.3874365688718</v>
      </c>
      <c r="BI34" s="30" t="str">
        <f t="shared" si="96"/>
        <v>55,2062747729021+1227,92642250345i</v>
      </c>
      <c r="BJ34" s="68">
        <f t="shared" si="97"/>
        <v>61.7922164552228</v>
      </c>
      <c r="BK34" s="31">
        <f t="shared" si="98"/>
        <v>87.4257757786655</v>
      </c>
      <c r="BL34" s="32">
        <f t="shared" si="99"/>
        <v>51.2823967008982</v>
      </c>
      <c r="BM34" s="31">
        <f t="shared" si="100"/>
        <v>84.3874365688718</v>
      </c>
      <c r="BO34">
        <f t="shared" si="101"/>
        <v>0</v>
      </c>
      <c r="BP34">
        <f t="shared" si="102"/>
        <v>0</v>
      </c>
    </row>
    <row r="35" spans="1:68">
      <c r="A35" t="s">
        <v>442</v>
      </c>
      <c r="B35" s="89">
        <f>(1+DC_VIN_Var)/(Cout*(VOUT/IOUT))</f>
        <v>612.244897959184</v>
      </c>
      <c r="C35" t="s">
        <v>324</v>
      </c>
      <c r="E35" t="s">
        <v>491</v>
      </c>
      <c r="N35" s="7">
        <v>17</v>
      </c>
      <c r="O35" s="18">
        <f t="shared" si="62"/>
        <v>14.7910838816821</v>
      </c>
      <c r="P35" s="86" t="str">
        <f t="shared" si="50"/>
        <v>75</v>
      </c>
      <c r="Q35" s="4" t="str">
        <f t="shared" si="51"/>
        <v>1+0,151794030840321i</v>
      </c>
      <c r="R35" s="4">
        <f t="shared" si="63"/>
        <v>1.01145510419334</v>
      </c>
      <c r="S35" s="4">
        <f t="shared" si="64"/>
        <v>0.150644037552407</v>
      </c>
      <c r="T35" s="4" t="str">
        <f t="shared" si="52"/>
        <v>1+0,00145722269606709i</v>
      </c>
      <c r="U35" s="4">
        <f t="shared" si="65"/>
        <v>1.00000106174843</v>
      </c>
      <c r="V35" s="4">
        <f t="shared" si="66"/>
        <v>0.00145722166459858</v>
      </c>
      <c r="W35" t="str">
        <f t="shared" si="53"/>
        <v>1-0,000764391369588762i</v>
      </c>
      <c r="X35" s="4">
        <f t="shared" si="67"/>
        <v>1.00000029214704</v>
      </c>
      <c r="Y35" s="4">
        <f t="shared" si="68"/>
        <v>-0.000764391220712342</v>
      </c>
      <c r="Z35" t="str">
        <f t="shared" si="54"/>
        <v>0,999999998214072+0,00023986744373647i</v>
      </c>
      <c r="AA35" s="4">
        <f t="shared" si="69"/>
        <v>1.00000002698227</v>
      </c>
      <c r="AB35" s="4">
        <f t="shared" si="70"/>
        <v>0.000239867439564487</v>
      </c>
      <c r="AC35" s="67" t="str">
        <f t="shared" si="71"/>
        <v>73,3159445688249-11,0949504817268i</v>
      </c>
      <c r="AD35" s="68">
        <f t="shared" si="72"/>
        <v>37.4023045861375</v>
      </c>
      <c r="AE35" s="31">
        <f t="shared" si="73"/>
        <v>-8.60531469213999</v>
      </c>
      <c r="AF35" s="32" t="str">
        <f t="shared" si="74"/>
        <v>249,914648392112</v>
      </c>
      <c r="AG35" s="32" t="str">
        <f t="shared" si="55"/>
        <v>1+0,097581876968778i</v>
      </c>
      <c r="AH35" s="32">
        <f t="shared" si="75"/>
        <v>1.00474983090954</v>
      </c>
      <c r="AI35" s="32">
        <f t="shared" si="76"/>
        <v>0.0972739025023261</v>
      </c>
      <c r="AJ35" s="32" t="str">
        <f t="shared" si="56"/>
        <v>1+0,00145722269606709i</v>
      </c>
      <c r="AK35" s="32">
        <f t="shared" si="77"/>
        <v>1.00000106174843</v>
      </c>
      <c r="AL35" s="32">
        <f t="shared" si="78"/>
        <v>0.00145722166459858</v>
      </c>
      <c r="AM35" s="32" t="str">
        <f t="shared" si="57"/>
        <v>1-0,000147467192164166i</v>
      </c>
      <c r="AN35" s="32">
        <f t="shared" si="79"/>
        <v>1.00000001087329</v>
      </c>
      <c r="AO35" s="32">
        <f t="shared" si="80"/>
        <v>-0.000147467191095197</v>
      </c>
      <c r="AP35" s="30" t="str">
        <f t="shared" si="81"/>
        <v>247,589045258177-23,8328766669631i</v>
      </c>
      <c r="AQ35" s="32">
        <f t="shared" si="82"/>
        <v>47.9146847296782</v>
      </c>
      <c r="AR35" s="31">
        <f t="shared" si="83"/>
        <v>-5.49834066662022</v>
      </c>
      <c r="AS35" t="str">
        <f t="shared" si="58"/>
        <v>-0,000100699300699301</v>
      </c>
      <c r="AT35" t="str">
        <f t="shared" si="59"/>
        <v>0,0000208825216713185i</v>
      </c>
      <c r="AU35">
        <f t="shared" si="84"/>
        <v>2.08825216713185e-5</v>
      </c>
      <c r="AV35">
        <f t="shared" si="85"/>
        <v>1.5707963267949</v>
      </c>
      <c r="AW35" t="str">
        <f t="shared" si="60"/>
        <v>1+0,00106914680723204i</v>
      </c>
      <c r="AX35">
        <f t="shared" si="86"/>
        <v>1.00000057153728</v>
      </c>
      <c r="AY35">
        <f t="shared" si="87"/>
        <v>0.00106914639986069</v>
      </c>
      <c r="AZ35" t="str">
        <f t="shared" si="61"/>
        <v>1+0,0511143165074551i</v>
      </c>
      <c r="BA35">
        <f t="shared" si="88"/>
        <v>1.00130548453108</v>
      </c>
      <c r="BB35">
        <f t="shared" si="89"/>
        <v>0.0510698711551764</v>
      </c>
      <c r="BC35" s="30" t="str">
        <f t="shared" si="90"/>
        <v>-0,241326594123785+4,82243908365358i</v>
      </c>
      <c r="BD35" s="32">
        <f t="shared" si="91"/>
        <v>13.6761972121104</v>
      </c>
      <c r="BE35" s="31">
        <f t="shared" si="92"/>
        <v>92.8648305010749</v>
      </c>
      <c r="BF35" s="30" t="str">
        <f t="shared" si="93"/>
        <v>35,8116356365177+356,239183155408i</v>
      </c>
      <c r="BG35" s="68">
        <f t="shared" si="94"/>
        <v>51.0785017982479</v>
      </c>
      <c r="BH35" s="31">
        <f t="shared" si="95"/>
        <v>84.2595158089349</v>
      </c>
      <c r="BI35" s="30" t="str">
        <f t="shared" si="96"/>
        <v>55,1827748801428+1199,73459549172i</v>
      </c>
      <c r="BJ35" s="68">
        <f t="shared" si="97"/>
        <v>61.5908819417886</v>
      </c>
      <c r="BK35" s="31">
        <f t="shared" si="98"/>
        <v>87.3664898344547</v>
      </c>
      <c r="BL35" s="32">
        <f t="shared" si="99"/>
        <v>51.0785017982479</v>
      </c>
      <c r="BM35" s="31">
        <f t="shared" si="100"/>
        <v>84.2595158089349</v>
      </c>
      <c r="BO35">
        <f t="shared" si="101"/>
        <v>0</v>
      </c>
      <c r="BP35">
        <f t="shared" si="102"/>
        <v>0</v>
      </c>
    </row>
    <row r="36" spans="1:68">
      <c r="B36" s="90">
        <f>wp_lf/(2*PI())</f>
        <v>97.4418018929972</v>
      </c>
      <c r="C36" t="s">
        <v>111</v>
      </c>
      <c r="N36" s="7">
        <v>18</v>
      </c>
      <c r="O36" s="18">
        <f t="shared" si="62"/>
        <v>15.1356124843621</v>
      </c>
      <c r="P36" s="86" t="str">
        <f t="shared" si="50"/>
        <v>75</v>
      </c>
      <c r="Q36" s="4" t="str">
        <f t="shared" si="51"/>
        <v>1+0,155329768028949i</v>
      </c>
      <c r="R36" s="4">
        <f t="shared" si="63"/>
        <v>1.01199176717794</v>
      </c>
      <c r="S36" s="4">
        <f t="shared" si="64"/>
        <v>0.154098315263723</v>
      </c>
      <c r="T36" s="4" t="str">
        <f t="shared" si="52"/>
        <v>1+0,00149116577307792i</v>
      </c>
      <c r="U36" s="4">
        <f t="shared" si="65"/>
        <v>1.00000111178706</v>
      </c>
      <c r="V36" s="4">
        <f t="shared" si="66"/>
        <v>0.00149116466783957</v>
      </c>
      <c r="W36" t="str">
        <f t="shared" si="53"/>
        <v>1-0,000782196331860068i</v>
      </c>
      <c r="X36" s="4">
        <f t="shared" si="67"/>
        <v>1.0000003059155</v>
      </c>
      <c r="Y36" s="4">
        <f t="shared" si="68"/>
        <v>-0.000782196172336112</v>
      </c>
      <c r="Z36" t="str">
        <f t="shared" si="54"/>
        <v>0,999999998129904+0,000245454674251827i</v>
      </c>
      <c r="AA36" s="4">
        <f t="shared" si="69"/>
        <v>1.0000000282539</v>
      </c>
      <c r="AB36" s="4">
        <f t="shared" si="70"/>
        <v>0.000245454669781467</v>
      </c>
      <c r="AC36" s="67" t="str">
        <f t="shared" si="71"/>
        <v>73,238447284436-11,3413474435053i</v>
      </c>
      <c r="AD36" s="68">
        <f t="shared" si="72"/>
        <v>37.3976977480843</v>
      </c>
      <c r="AE36" s="31">
        <f t="shared" si="73"/>
        <v>-8.80262570872783</v>
      </c>
      <c r="AF36" s="32" t="str">
        <f t="shared" si="74"/>
        <v>249,914648392112</v>
      </c>
      <c r="AG36" s="32" t="str">
        <f t="shared" si="55"/>
        <v>1+0,0998548508757532i</v>
      </c>
      <c r="AH36" s="32">
        <f t="shared" si="75"/>
        <v>1.00497312961264</v>
      </c>
      <c r="AI36" s="32">
        <f t="shared" si="76"/>
        <v>0.099524938422603</v>
      </c>
      <c r="AJ36" s="32" t="str">
        <f t="shared" si="56"/>
        <v>1+0,00149116577307792i</v>
      </c>
      <c r="AK36" s="32">
        <f t="shared" si="77"/>
        <v>1.00000111178706</v>
      </c>
      <c r="AL36" s="32">
        <f t="shared" si="78"/>
        <v>0.00149116466783957</v>
      </c>
      <c r="AM36" s="32" t="str">
        <f t="shared" si="57"/>
        <v>1-0,000150902144332911i</v>
      </c>
      <c r="AN36" s="32">
        <f t="shared" si="79"/>
        <v>1.00000001138573</v>
      </c>
      <c r="AO36" s="32">
        <f t="shared" si="80"/>
        <v>-0.00015090214318749</v>
      </c>
      <c r="AP36" s="30" t="str">
        <f t="shared" si="81"/>
        <v>247,480525013541-24,3771794063497i</v>
      </c>
      <c r="AQ36" s="32">
        <f t="shared" si="82"/>
        <v>47.9127550043157</v>
      </c>
      <c r="AR36" s="31">
        <f t="shared" si="83"/>
        <v>-5.62556754181244</v>
      </c>
      <c r="AS36" t="str">
        <f t="shared" si="58"/>
        <v>-0,000100699300699301</v>
      </c>
      <c r="AT36" t="str">
        <f t="shared" si="59"/>
        <v>0,0000213689380874112i</v>
      </c>
      <c r="AU36">
        <f t="shared" si="84"/>
        <v>2.13689380874112e-5</v>
      </c>
      <c r="AV36">
        <f t="shared" si="85"/>
        <v>1.5707963267949</v>
      </c>
      <c r="AW36" t="str">
        <f t="shared" si="60"/>
        <v>1+0,00109405043555989i</v>
      </c>
      <c r="AX36">
        <f t="shared" si="86"/>
        <v>1.000000598473</v>
      </c>
      <c r="AY36">
        <f t="shared" si="87"/>
        <v>0.00109404999905364</v>
      </c>
      <c r="AZ36" t="str">
        <f t="shared" si="61"/>
        <v>1+0,0523049218872993i</v>
      </c>
      <c r="BA36">
        <f t="shared" si="88"/>
        <v>1.00136696812589</v>
      </c>
      <c r="BB36">
        <f t="shared" si="89"/>
        <v>0.0522573013448104</v>
      </c>
      <c r="BC36" s="30" t="str">
        <f t="shared" si="90"/>
        <v>-0,241326581123184+4,7126788513375i</v>
      </c>
      <c r="BD36" s="32">
        <f t="shared" si="91"/>
        <v>13.4767303052234</v>
      </c>
      <c r="BE36" s="31">
        <f t="shared" si="92"/>
        <v>92.9314383682789</v>
      </c>
      <c r="BF36" s="30" t="str">
        <f t="shared" si="93"/>
        <v>35,7737441527546+347,886250226029i</v>
      </c>
      <c r="BG36" s="68">
        <f t="shared" si="94"/>
        <v>50.8744280533077</v>
      </c>
      <c r="BH36" s="31">
        <f t="shared" si="95"/>
        <v>84.128812659551</v>
      </c>
      <c r="BI36" s="30" t="str">
        <f t="shared" si="96"/>
        <v>55,1581888474758+1172,17909771278i</v>
      </c>
      <c r="BJ36" s="68">
        <f t="shared" si="97"/>
        <v>61.3894853095392</v>
      </c>
      <c r="BK36" s="31">
        <f t="shared" si="98"/>
        <v>87.3058708264665</v>
      </c>
      <c r="BL36" s="32">
        <f t="shared" si="99"/>
        <v>50.8744280533077</v>
      </c>
      <c r="BM36" s="31">
        <f t="shared" si="100"/>
        <v>84.128812659551</v>
      </c>
      <c r="BO36">
        <f t="shared" si="101"/>
        <v>0</v>
      </c>
      <c r="BP36">
        <f t="shared" si="102"/>
        <v>0</v>
      </c>
    </row>
    <row r="37" spans="1:68">
      <c r="B37" s="12"/>
      <c r="C37" t="s">
        <v>492</v>
      </c>
      <c r="E37" t="s">
        <v>493</v>
      </c>
      <c r="N37" s="7">
        <v>19</v>
      </c>
      <c r="O37" s="18">
        <f t="shared" si="62"/>
        <v>15.4881661891248</v>
      </c>
      <c r="P37" s="86" t="str">
        <f t="shared" si="50"/>
        <v>75</v>
      </c>
      <c r="Q37" s="4" t="str">
        <f t="shared" si="51"/>
        <v>1+0,158947863116619i</v>
      </c>
      <c r="R37" s="4">
        <f t="shared" si="63"/>
        <v>1.01255341744983</v>
      </c>
      <c r="S37" s="4">
        <f t="shared" si="64"/>
        <v>0.157629219635585</v>
      </c>
      <c r="T37" s="4" t="str">
        <f t="shared" si="52"/>
        <v>1+0,00152589948591954i</v>
      </c>
      <c r="U37" s="4">
        <f t="shared" si="65"/>
        <v>1.00000116418394</v>
      </c>
      <c r="V37" s="4">
        <f t="shared" si="66"/>
        <v>0.00152589830163538</v>
      </c>
      <c r="W37" t="str">
        <f t="shared" si="53"/>
        <v>1-0,000800416024980116i</v>
      </c>
      <c r="X37" s="4">
        <f t="shared" si="67"/>
        <v>1.00000032033286</v>
      </c>
      <c r="Y37" s="4">
        <f t="shared" si="68"/>
        <v>-0.000800415854047121</v>
      </c>
      <c r="Z37" t="str">
        <f t="shared" si="54"/>
        <v>0,999999998041769+0,00025117204808445i</v>
      </c>
      <c r="AA37" s="4">
        <f t="shared" si="69"/>
        <v>1.00000002958547</v>
      </c>
      <c r="AB37" s="4">
        <f t="shared" si="70"/>
        <v>0.000251172043294373</v>
      </c>
      <c r="AC37" s="67" t="str">
        <f t="shared" si="71"/>
        <v>73,157473615495-11,5926507714485i</v>
      </c>
      <c r="AD37" s="68">
        <f t="shared" si="72"/>
        <v>37.3928790296046</v>
      </c>
      <c r="AE37" s="31">
        <f t="shared" si="73"/>
        <v>-9.00431302871453</v>
      </c>
      <c r="AF37" s="32" t="str">
        <f t="shared" si="74"/>
        <v>249,914648392112</v>
      </c>
      <c r="AG37" s="32" t="str">
        <f t="shared" si="55"/>
        <v>1+0,102180769146398i</v>
      </c>
      <c r="AH37" s="32">
        <f t="shared" si="75"/>
        <v>1.00520689889363</v>
      </c>
      <c r="AI37" s="32">
        <f t="shared" si="76"/>
        <v>0.101827360406567</v>
      </c>
      <c r="AJ37" s="32" t="str">
        <f t="shared" si="56"/>
        <v>1+0,00152589948591954i</v>
      </c>
      <c r="AK37" s="32">
        <f t="shared" si="77"/>
        <v>1.00000116418394</v>
      </c>
      <c r="AL37" s="32">
        <f t="shared" si="78"/>
        <v>0.00152589830163538</v>
      </c>
      <c r="AM37" s="32" t="str">
        <f t="shared" si="57"/>
        <v>1-0,000154417106816006i</v>
      </c>
      <c r="AN37" s="32">
        <f t="shared" si="79"/>
        <v>1.00000001192232</v>
      </c>
      <c r="AO37" s="32">
        <f t="shared" si="80"/>
        <v>-0.000154417105588666</v>
      </c>
      <c r="AP37" s="30" t="str">
        <f t="shared" si="81"/>
        <v>247,366993683287-24,9333961394408i</v>
      </c>
      <c r="AQ37" s="32">
        <f t="shared" si="82"/>
        <v>47.9107352528091</v>
      </c>
      <c r="AR37" s="31">
        <f t="shared" si="83"/>
        <v>-5.75569790603881</v>
      </c>
      <c r="AS37" t="str">
        <f t="shared" si="58"/>
        <v>-0,000100699300699301</v>
      </c>
      <c r="AT37" t="str">
        <f t="shared" si="59"/>
        <v>0,0000218666845973291i</v>
      </c>
      <c r="AU37">
        <f t="shared" si="84"/>
        <v>2.18666845973291e-5</v>
      </c>
      <c r="AV37">
        <f t="shared" si="85"/>
        <v>1.5707963267949</v>
      </c>
      <c r="AW37" t="str">
        <f t="shared" si="60"/>
        <v>1+0,00111953414391014i</v>
      </c>
      <c r="AX37">
        <f t="shared" si="86"/>
        <v>1.00000062667815</v>
      </c>
      <c r="AY37">
        <f t="shared" si="87"/>
        <v>0.00111953367618529</v>
      </c>
      <c r="AZ37" t="str">
        <f t="shared" si="61"/>
        <v>1+0,0535232600290655i</v>
      </c>
      <c r="BA37">
        <f t="shared" si="88"/>
        <v>1.00143134530738</v>
      </c>
      <c r="BB37">
        <f t="shared" si="89"/>
        <v>0.0534722376366077</v>
      </c>
      <c r="BC37" s="30" t="str">
        <f t="shared" si="90"/>
        <v>-0,241326567509887+4,60541734372674i</v>
      </c>
      <c r="BD37" s="32">
        <f t="shared" si="91"/>
        <v>13.2772884520529</v>
      </c>
      <c r="BE37" s="31">
        <f t="shared" si="92"/>
        <v>92.99958898303</v>
      </c>
      <c r="BF37" s="30" t="str">
        <f t="shared" si="93"/>
        <v>35,7341529272736+339,718312431047i</v>
      </c>
      <c r="BG37" s="68">
        <f t="shared" si="94"/>
        <v>50.6701674816575</v>
      </c>
      <c r="BH37" s="31">
        <f t="shared" si="95"/>
        <v>83.9952759543155</v>
      </c>
      <c r="BI37" s="30" t="str">
        <f t="shared" si="96"/>
        <v>55,1324675177624+1145,24533388125i</v>
      </c>
      <c r="BJ37" s="68">
        <f t="shared" si="97"/>
        <v>61.188023704862</v>
      </c>
      <c r="BK37" s="31">
        <f t="shared" si="98"/>
        <v>87.2438910769912</v>
      </c>
      <c r="BL37" s="32">
        <f t="shared" si="99"/>
        <v>50.6701674816575</v>
      </c>
      <c r="BM37" s="31">
        <f t="shared" si="100"/>
        <v>83.9952759543155</v>
      </c>
      <c r="BO37">
        <f t="shared" si="101"/>
        <v>0</v>
      </c>
      <c r="BP37">
        <f t="shared" si="102"/>
        <v>0</v>
      </c>
    </row>
    <row r="38" spans="1:68">
      <c r="A38" t="s">
        <v>494</v>
      </c>
      <c r="B38" s="89">
        <f>((VOUT/IOUT)*((1-DC_VIN_Var)^2))/(Lm*DC_VIN_Var)</f>
        <v>121580.547112462</v>
      </c>
      <c r="C38" t="s">
        <v>324</v>
      </c>
      <c r="E38" t="s">
        <v>495</v>
      </c>
      <c r="N38" s="7">
        <v>20</v>
      </c>
      <c r="O38" s="18">
        <f t="shared" si="62"/>
        <v>15.8489319246111</v>
      </c>
      <c r="P38" s="86" t="str">
        <f t="shared" si="50"/>
        <v>75</v>
      </c>
      <c r="Q38" s="4" t="str">
        <f t="shared" si="51"/>
        <v>1+0,162650234465236i</v>
      </c>
      <c r="R38" s="4">
        <f t="shared" si="63"/>
        <v>1.01314120376757</v>
      </c>
      <c r="S38" s="4">
        <f t="shared" si="64"/>
        <v>0.16123827045353</v>
      </c>
      <c r="T38" s="4" t="str">
        <f t="shared" si="52"/>
        <v>1+0,00156144225086627i</v>
      </c>
      <c r="U38" s="4">
        <f t="shared" si="65"/>
        <v>1.00000121905021</v>
      </c>
      <c r="V38" s="4">
        <f t="shared" si="66"/>
        <v>0.00156144098188302</v>
      </c>
      <c r="W38" t="str">
        <f t="shared" si="53"/>
        <v>1-0,000819060109271369i</v>
      </c>
      <c r="X38" s="4">
        <f t="shared" si="67"/>
        <v>1.00000033542968</v>
      </c>
      <c r="Y38" s="4">
        <f t="shared" si="68"/>
        <v>-0.000819059926113368</v>
      </c>
      <c r="Z38" t="str">
        <f t="shared" si="54"/>
        <v>0,99999999794948+0,000257022596661621i</v>
      </c>
      <c r="AA38" s="4">
        <f t="shared" si="69"/>
        <v>1.00000003097979</v>
      </c>
      <c r="AB38" s="4">
        <f t="shared" si="70"/>
        <v>0.000257022591528961</v>
      </c>
      <c r="AC38" s="67" t="str">
        <f t="shared" si="71"/>
        <v>73,0728760587687-11,8489184851607i</v>
      </c>
      <c r="AD38" s="68">
        <f t="shared" si="72"/>
        <v>37.3878389372386</v>
      </c>
      <c r="AE38" s="31">
        <f t="shared" si="73"/>
        <v>-9.21046340142421</v>
      </c>
      <c r="AF38" s="32" t="str">
        <f t="shared" si="74"/>
        <v>249,914648392112</v>
      </c>
      <c r="AG38" s="32" t="str">
        <f t="shared" si="55"/>
        <v>1+0,104560865013366i</v>
      </c>
      <c r="AH38" s="32">
        <f t="shared" si="75"/>
        <v>1.00545162712701</v>
      </c>
      <c r="AI38" s="32">
        <f t="shared" si="76"/>
        <v>0.104182291531505</v>
      </c>
      <c r="AJ38" s="32" t="str">
        <f t="shared" si="56"/>
        <v>1+0,00156144225086627i</v>
      </c>
      <c r="AK38" s="32">
        <f t="shared" si="77"/>
        <v>1.00000121905021</v>
      </c>
      <c r="AL38" s="32">
        <f t="shared" si="78"/>
        <v>0.00156144098188302</v>
      </c>
      <c r="AM38" s="32" t="str">
        <f t="shared" si="57"/>
        <v>1-0,000158013943293088i</v>
      </c>
      <c r="AN38" s="32">
        <f t="shared" si="79"/>
        <v>1.0000000124842</v>
      </c>
      <c r="AO38" s="32">
        <f t="shared" si="80"/>
        <v>-0.000158013941977969</v>
      </c>
      <c r="AP38" s="30" t="str">
        <f t="shared" si="81"/>
        <v>247,248224911873-25,5017509777741i</v>
      </c>
      <c r="AQ38" s="32">
        <f t="shared" si="82"/>
        <v>47.9086213200836</v>
      </c>
      <c r="AR38" s="31">
        <f t="shared" si="83"/>
        <v>-5.88879515851571</v>
      </c>
      <c r="AS38" t="str">
        <f t="shared" si="58"/>
        <v>-0,000100699300699301</v>
      </c>
      <c r="AT38" t="str">
        <f t="shared" si="59"/>
        <v>0,0000223760251128604i</v>
      </c>
      <c r="AU38">
        <f t="shared" si="84"/>
        <v>2.23760251128604e-5</v>
      </c>
      <c r="AV38">
        <f t="shared" si="85"/>
        <v>1.5707963267949</v>
      </c>
      <c r="AW38" t="str">
        <f t="shared" si="60"/>
        <v>1+0,00114561144408228i</v>
      </c>
      <c r="AX38">
        <f t="shared" si="86"/>
        <v>1.00000065621258</v>
      </c>
      <c r="AY38">
        <f t="shared" si="87"/>
        <v>0.00114561094290609</v>
      </c>
      <c r="AZ38" t="str">
        <f t="shared" si="61"/>
        <v>1+0,0547699769117632i</v>
      </c>
      <c r="BA38">
        <f t="shared" si="88"/>
        <v>1.00149875205659</v>
      </c>
      <c r="BB38">
        <f t="shared" si="89"/>
        <v>0.0547153098510857</v>
      </c>
      <c r="BC38" s="30" t="str">
        <f t="shared" si="90"/>
        <v>-0,241326553255014+4,50059768935009i</v>
      </c>
      <c r="BD38" s="32">
        <f t="shared" si="91"/>
        <v>13.0778728265921</v>
      </c>
      <c r="BE38" s="31">
        <f t="shared" si="92"/>
        <v>93.0693176572253</v>
      </c>
      <c r="BF38" s="30" t="str">
        <f t="shared" si="93"/>
        <v>35,6927898399183+331,731075802083i</v>
      </c>
      <c r="BG38" s="68">
        <f t="shared" si="94"/>
        <v>50.4657117638307</v>
      </c>
      <c r="BH38" s="31">
        <f t="shared" si="95"/>
        <v>83.8588542558011</v>
      </c>
      <c r="BI38" s="30" t="str">
        <f t="shared" si="96"/>
        <v>55,1055596085487+1118,91903939972i</v>
      </c>
      <c r="BJ38" s="68">
        <f t="shared" si="97"/>
        <v>60.9864941466757</v>
      </c>
      <c r="BK38" s="31">
        <f t="shared" si="98"/>
        <v>87.1805224987096</v>
      </c>
      <c r="BL38" s="32">
        <f t="shared" si="99"/>
        <v>50.4657117638307</v>
      </c>
      <c r="BM38" s="31">
        <f t="shared" si="100"/>
        <v>83.8588542558011</v>
      </c>
      <c r="BO38">
        <f t="shared" si="101"/>
        <v>0</v>
      </c>
      <c r="BP38">
        <f t="shared" si="102"/>
        <v>0</v>
      </c>
    </row>
    <row r="39" spans="1:68">
      <c r="B39" s="12">
        <f>wz_rhp/2*PI()</f>
        <v>190978.276813969</v>
      </c>
      <c r="C39" t="s">
        <v>111</v>
      </c>
      <c r="N39" s="7">
        <v>21</v>
      </c>
      <c r="O39" s="18">
        <f t="shared" si="62"/>
        <v>16.2181009735893</v>
      </c>
      <c r="P39" s="86" t="str">
        <f t="shared" si="50"/>
        <v>75</v>
      </c>
      <c r="Q39" s="4" t="str">
        <f t="shared" si="51"/>
        <v>1+0,166438845121098i</v>
      </c>
      <c r="R39" s="4">
        <f t="shared" si="63"/>
        <v>1.01375632632563</v>
      </c>
      <c r="S39" s="4">
        <f t="shared" si="64"/>
        <v>0.164927005022286</v>
      </c>
      <c r="T39" s="4" t="str">
        <f t="shared" si="52"/>
        <v>1+0,00159781291316254i</v>
      </c>
      <c r="U39" s="4">
        <f t="shared" si="65"/>
        <v>1.00000127650224</v>
      </c>
      <c r="V39" s="4">
        <f t="shared" si="66"/>
        <v>0.00159781155342258</v>
      </c>
      <c r="W39" t="str">
        <f t="shared" si="53"/>
        <v>1-0,000838138470074101i</v>
      </c>
      <c r="X39" s="4">
        <f t="shared" si="67"/>
        <v>1.00000035123799</v>
      </c>
      <c r="Y39" s="4">
        <f t="shared" si="68"/>
        <v>-0.00083813827381677</v>
      </c>
      <c r="Z39" t="str">
        <f t="shared" si="54"/>
        <v>0,999999997852842+0,00026300942202164i</v>
      </c>
      <c r="AA39" s="4">
        <f t="shared" si="69"/>
        <v>1.00000003243982</v>
      </c>
      <c r="AB39" s="4">
        <f t="shared" si="70"/>
        <v>0.000263009416521896</v>
      </c>
      <c r="AC39" s="67" t="str">
        <f t="shared" si="71"/>
        <v>72,9845016435428-12,1102063176656i</v>
      </c>
      <c r="AD39" s="68">
        <f t="shared" si="72"/>
        <v>37.3825675757595</v>
      </c>
      <c r="AE39" s="31">
        <f t="shared" si="73"/>
        <v>-9.42116457231849</v>
      </c>
      <c r="AF39" s="32" t="str">
        <f t="shared" si="74"/>
        <v>249,914648392112</v>
      </c>
      <c r="AG39" s="32" t="str">
        <f t="shared" si="55"/>
        <v>1+0,106996400434991i</v>
      </c>
      <c r="AH39" s="32">
        <f t="shared" si="75"/>
        <v>1.00570782521866</v>
      </c>
      <c r="AI39" s="32">
        <f t="shared" si="76"/>
        <v>0.106590875878004</v>
      </c>
      <c r="AJ39" s="32" t="str">
        <f t="shared" si="56"/>
        <v>1+0,00159781291316254i</v>
      </c>
      <c r="AK39" s="32">
        <f t="shared" si="77"/>
        <v>1.00000127650224</v>
      </c>
      <c r="AL39" s="32">
        <f t="shared" si="78"/>
        <v>0.00159781155342258</v>
      </c>
      <c r="AM39" s="32" t="str">
        <f t="shared" si="57"/>
        <v>1-0,000161694560854465i</v>
      </c>
      <c r="AN39" s="32">
        <f t="shared" si="79"/>
        <v>1.00000001307257</v>
      </c>
      <c r="AO39" s="32">
        <f t="shared" si="80"/>
        <v>-0.00016169455944529</v>
      </c>
      <c r="AP39" s="30" t="str">
        <f t="shared" si="81"/>
        <v>247,123982599295-26,0824695862173i</v>
      </c>
      <c r="AQ39" s="32">
        <f t="shared" si="82"/>
        <v>47.9064088635682</v>
      </c>
      <c r="AR39" s="31">
        <f t="shared" si="83"/>
        <v>-6.02492387977053</v>
      </c>
      <c r="AS39" t="str">
        <f t="shared" si="58"/>
        <v>-0,000100699300699301</v>
      </c>
      <c r="AT39" t="str">
        <f t="shared" si="59"/>
        <v>0,0000228972296930883i</v>
      </c>
      <c r="AU39">
        <f t="shared" si="84"/>
        <v>2.28972296930883e-5</v>
      </c>
      <c r="AV39">
        <f t="shared" si="85"/>
        <v>1.5707963267949</v>
      </c>
      <c r="AW39" t="str">
        <f t="shared" si="60"/>
        <v>1+0,00117229616260603i</v>
      </c>
      <c r="AX39">
        <f t="shared" si="86"/>
        <v>1.00000068713891</v>
      </c>
      <c r="AY39">
        <f t="shared" si="87"/>
        <v>0.00117229562558608</v>
      </c>
      <c r="AZ39" t="str">
        <f t="shared" si="61"/>
        <v>1+0,056045733561186i</v>
      </c>
      <c r="BA39">
        <f t="shared" si="88"/>
        <v>1.00156933072574</v>
      </c>
      <c r="BB39">
        <f t="shared" si="89"/>
        <v>0.0559871617062321</v>
      </c>
      <c r="BC39" s="30" t="str">
        <f t="shared" si="90"/>
        <v>-0,241326538328332+4,39816431143922i</v>
      </c>
      <c r="BD39" s="32">
        <f t="shared" si="91"/>
        <v>12.8784846575148</v>
      </c>
      <c r="BE39" s="31">
        <f t="shared" si="92"/>
        <v>93.1406604809958</v>
      </c>
      <c r="BF39" s="30" t="str">
        <f t="shared" si="93"/>
        <v>35,649580097268+323,920344585891i</v>
      </c>
      <c r="BG39" s="68">
        <f t="shared" si="94"/>
        <v>50.2610522332743</v>
      </c>
      <c r="BH39" s="31">
        <f t="shared" si="95"/>
        <v>83.7194959086773</v>
      </c>
      <c r="BI39" s="30" t="str">
        <f t="shared" si="96"/>
        <v>55,077411629701+1093,18627286524i</v>
      </c>
      <c r="BJ39" s="68">
        <f t="shared" si="97"/>
        <v>60.784893521083</v>
      </c>
      <c r="BK39" s="31">
        <f t="shared" si="98"/>
        <v>87.1157366012253</v>
      </c>
      <c r="BL39" s="32">
        <f t="shared" si="99"/>
        <v>50.2610522332743</v>
      </c>
      <c r="BM39" s="31">
        <f t="shared" si="100"/>
        <v>83.7194959086773</v>
      </c>
      <c r="BO39">
        <f t="shared" si="101"/>
        <v>0</v>
      </c>
      <c r="BP39">
        <f t="shared" si="102"/>
        <v>0</v>
      </c>
    </row>
    <row r="40" spans="1:68">
      <c r="B40" s="12"/>
      <c r="N40" s="7">
        <v>22</v>
      </c>
      <c r="O40" s="18">
        <f t="shared" si="62"/>
        <v>16.5958690743756</v>
      </c>
      <c r="P40" s="86" t="str">
        <f t="shared" si="50"/>
        <v>75</v>
      </c>
      <c r="Q40" s="4" t="str">
        <f t="shared" si="51"/>
        <v>1+0,170315703855722i</v>
      </c>
      <c r="R40" s="4">
        <f t="shared" si="63"/>
        <v>1.01440003892935</v>
      </c>
      <c r="S40" s="4">
        <f t="shared" si="64"/>
        <v>0.168696977420518</v>
      </c>
      <c r="T40" s="4" t="str">
        <f t="shared" si="52"/>
        <v>1+0,00163503075701493i</v>
      </c>
      <c r="U40" s="4">
        <f t="shared" si="65"/>
        <v>1.00000133666189</v>
      </c>
      <c r="V40" s="4">
        <f t="shared" si="66"/>
        <v>0.00163502930002742</v>
      </c>
      <c r="W40" t="str">
        <f t="shared" si="53"/>
        <v>1-0,000857661222987743i</v>
      </c>
      <c r="X40" s="4">
        <f t="shared" si="67"/>
        <v>1.00000036779132</v>
      </c>
      <c r="Y40" s="4">
        <f t="shared" si="68"/>
        <v>-0.000857661012694229</v>
      </c>
      <c r="Z40" t="str">
        <f t="shared" si="54"/>
        <v>0,99999999775165+0,000269135698458557i</v>
      </c>
      <c r="AA40" s="4">
        <f t="shared" si="69"/>
        <v>1.00000003396866</v>
      </c>
      <c r="AB40" s="4">
        <f t="shared" si="70"/>
        <v>0.000269135692565475</v>
      </c>
      <c r="AC40" s="67" t="str">
        <f t="shared" si="71"/>
        <v>72,8921918041978-12,376567446077i</v>
      </c>
      <c r="AD40" s="68">
        <f t="shared" si="72"/>
        <v>37.377054633381</v>
      </c>
      <c r="AE40" s="31">
        <f t="shared" si="73"/>
        <v>-9.63650524011823</v>
      </c>
      <c r="AF40" s="32" t="str">
        <f t="shared" si="74"/>
        <v>249,914648392112</v>
      </c>
      <c r="AG40" s="32" t="str">
        <f t="shared" si="55"/>
        <v>1+0,109488666764393i</v>
      </c>
      <c r="AH40" s="32">
        <f t="shared" si="75"/>
        <v>1.00597602762185</v>
      </c>
      <c r="AI40" s="32">
        <f t="shared" si="76"/>
        <v>0.109054278665444</v>
      </c>
      <c r="AJ40" s="32" t="str">
        <f t="shared" si="56"/>
        <v>1+0,00163503075701493i</v>
      </c>
      <c r="AK40" s="32">
        <f t="shared" si="77"/>
        <v>1.00000133666189</v>
      </c>
      <c r="AL40" s="32">
        <f t="shared" si="78"/>
        <v>0.00163502930002742</v>
      </c>
      <c r="AM40" s="32" t="str">
        <f t="shared" si="57"/>
        <v>1-0,000165460911012289i</v>
      </c>
      <c r="AN40" s="32">
        <f t="shared" si="79"/>
        <v>1.00000001368866</v>
      </c>
      <c r="AO40" s="32">
        <f t="shared" si="80"/>
        <v>-0.000165460909502331</v>
      </c>
      <c r="AP40" s="30" t="str">
        <f t="shared" si="81"/>
        <v>246,994020527568-26,6757789749891i</v>
      </c>
      <c r="AQ40" s="32">
        <f t="shared" si="82"/>
        <v>47.9040933451425</v>
      </c>
      <c r="AR40" s="31">
        <f t="shared" si="83"/>
        <v>-6.16414983889059</v>
      </c>
      <c r="AS40" t="str">
        <f t="shared" si="58"/>
        <v>-0,000100699300699301</v>
      </c>
      <c r="AT40" t="str">
        <f t="shared" si="59"/>
        <v>0,00002343057468758i</v>
      </c>
      <c r="AU40">
        <f t="shared" si="84"/>
        <v>2.343057468758e-5</v>
      </c>
      <c r="AV40">
        <f t="shared" si="85"/>
        <v>1.5707963267949</v>
      </c>
      <c r="AW40" t="str">
        <f t="shared" si="60"/>
        <v>1+0,00119960244807237i</v>
      </c>
      <c r="AX40">
        <f t="shared" si="86"/>
        <v>1.00000071952276</v>
      </c>
      <c r="AY40">
        <f t="shared" si="87"/>
        <v>0.00119960187264515</v>
      </c>
      <c r="AZ40" t="str">
        <f t="shared" si="61"/>
        <v>1+0,0573512064003961i</v>
      </c>
      <c r="BA40">
        <f t="shared" si="88"/>
        <v>1.00164323033482</v>
      </c>
      <c r="BB40">
        <f t="shared" si="89"/>
        <v>0.0572884510865601</v>
      </c>
      <c r="BC40" s="30" t="str">
        <f t="shared" si="90"/>
        <v>-0,241326522698181+4,29806289846124i</v>
      </c>
      <c r="BD40" s="32">
        <f t="shared" si="91"/>
        <v>12.6791252306895</v>
      </c>
      <c r="BE40" s="31">
        <f t="shared" si="92"/>
        <v>93.213654337703</v>
      </c>
      <c r="BF40" s="30" t="str">
        <f t="shared" si="93"/>
        <v>35,6044461703308+316,282019165844i</v>
      </c>
      <c r="BG40" s="68">
        <f t="shared" si="94"/>
        <v>50.0561798640705</v>
      </c>
      <c r="BH40" s="31">
        <f t="shared" si="95"/>
        <v>83.5771490975848</v>
      </c>
      <c r="BI40" s="30" t="str">
        <f t="shared" si="96"/>
        <v>55,047967798792+1068,03340875161i</v>
      </c>
      <c r="BJ40" s="68">
        <f t="shared" si="97"/>
        <v>60.583218575832</v>
      </c>
      <c r="BK40" s="31">
        <f t="shared" si="98"/>
        <v>87.0495044988124</v>
      </c>
      <c r="BL40" s="32">
        <f t="shared" si="99"/>
        <v>50.0561798640705</v>
      </c>
      <c r="BM40" s="31">
        <f t="shared" si="100"/>
        <v>83.5771490975848</v>
      </c>
      <c r="BO40">
        <f t="shared" si="101"/>
        <v>0</v>
      </c>
      <c r="BP40">
        <f t="shared" si="102"/>
        <v>0</v>
      </c>
    </row>
    <row r="41" spans="1:68">
      <c r="A41" t="s">
        <v>443</v>
      </c>
      <c r="B41" s="89">
        <f>1/(Cout*Resr)</f>
        <v>63775.5102040816</v>
      </c>
      <c r="C41" t="s">
        <v>324</v>
      </c>
      <c r="E41" t="s">
        <v>496</v>
      </c>
      <c r="N41" s="7">
        <v>23</v>
      </c>
      <c r="O41" s="18">
        <f t="shared" si="62"/>
        <v>16.9824365246174</v>
      </c>
      <c r="P41" s="86" t="str">
        <f t="shared" si="50"/>
        <v>75</v>
      </c>
      <c r="Q41" s="4" t="str">
        <f t="shared" si="51"/>
        <v>1+0,174282866230924i</v>
      </c>
      <c r="R41" s="4">
        <f t="shared" si="63"/>
        <v>1.01507365124983</v>
      </c>
      <c r="S41" s="4">
        <f t="shared" si="64"/>
        <v>0.172549757670068</v>
      </c>
      <c r="T41" s="4" t="str">
        <f t="shared" si="52"/>
        <v>1+0,00167311551581687i</v>
      </c>
      <c r="U41" s="4">
        <f t="shared" si="65"/>
        <v>1.00000139965679</v>
      </c>
      <c r="V41" s="4">
        <f t="shared" si="66"/>
        <v>0.00167311395462674</v>
      </c>
      <c r="W41" t="str">
        <f t="shared" si="53"/>
        <v>1-0,000877638719234295i</v>
      </c>
      <c r="X41" s="4">
        <f t="shared" si="67"/>
        <v>1.00000038512479</v>
      </c>
      <c r="Y41" s="4">
        <f t="shared" si="68"/>
        <v>-0.000877638493900739</v>
      </c>
      <c r="Z41" t="str">
        <f t="shared" si="54"/>
        <v>0,999999997645689+0,000275404674205226i</v>
      </c>
      <c r="AA41" s="4">
        <f t="shared" si="69"/>
        <v>1.00000003556956</v>
      </c>
      <c r="AB41" s="4">
        <f t="shared" si="70"/>
        <v>0.000275404667890674</v>
      </c>
      <c r="AC41" s="67" t="str">
        <f t="shared" si="71"/>
        <v>72,7957822575566-12,6480522054363i</v>
      </c>
      <c r="AD41" s="68">
        <f t="shared" si="72"/>
        <v>37.3712893666292</v>
      </c>
      <c r="AE41" s="31">
        <f t="shared" si="73"/>
        <v>-9.85657500902252</v>
      </c>
      <c r="AF41" s="32" t="str">
        <f t="shared" si="74"/>
        <v>249,914648392112</v>
      </c>
      <c r="AG41" s="32" t="str">
        <f t="shared" si="55"/>
        <v>1+0,112038985434165i</v>
      </c>
      <c r="AH41" s="32">
        <f t="shared" si="75"/>
        <v>1.00625679339675</v>
      </c>
      <c r="AI41" s="32">
        <f t="shared" si="76"/>
        <v>0.111573686367125</v>
      </c>
      <c r="AJ41" s="32" t="str">
        <f t="shared" si="56"/>
        <v>1+0,00167311551581687i</v>
      </c>
      <c r="AK41" s="32">
        <f t="shared" si="77"/>
        <v>1.00000139965679</v>
      </c>
      <c r="AL41" s="32">
        <f t="shared" si="78"/>
        <v>0.00167311395462674</v>
      </c>
      <c r="AM41" s="32" t="str">
        <f t="shared" si="57"/>
        <v>1-0,000169314990735264i</v>
      </c>
      <c r="AN41" s="32">
        <f t="shared" si="79"/>
        <v>1.00000001433378</v>
      </c>
      <c r="AO41" s="32">
        <f t="shared" si="80"/>
        <v>-0.000169314989117314</v>
      </c>
      <c r="AP41" s="30" t="str">
        <f t="shared" si="81"/>
        <v>246,858081977411-27,2819072714954i</v>
      </c>
      <c r="AQ41" s="32">
        <f t="shared" si="82"/>
        <v>47.9016700227765</v>
      </c>
      <c r="AR41" s="31">
        <f t="shared" si="83"/>
        <v>-6.30653999959274</v>
      </c>
      <c r="AS41" t="str">
        <f t="shared" si="58"/>
        <v>-0,000100699300699301</v>
      </c>
      <c r="AT41" t="str">
        <f t="shared" si="59"/>
        <v>0,0000239763428829114i</v>
      </c>
      <c r="AU41">
        <f t="shared" si="84"/>
        <v>2.39763428829114e-5</v>
      </c>
      <c r="AV41">
        <f t="shared" si="85"/>
        <v>1.5707963267949</v>
      </c>
      <c r="AW41" t="str">
        <f t="shared" si="60"/>
        <v>1+0,00122754477863529i</v>
      </c>
      <c r="AX41">
        <f t="shared" si="86"/>
        <v>1.00000075343281</v>
      </c>
      <c r="AY41">
        <f t="shared" si="87"/>
        <v>0.00122754416205394</v>
      </c>
      <c r="AZ41" t="str">
        <f t="shared" si="61"/>
        <v>1+0,0586870876083722i</v>
      </c>
      <c r="BA41">
        <f t="shared" si="88"/>
        <v>1.00172060688196</v>
      </c>
      <c r="BB41">
        <f t="shared" si="89"/>
        <v>0.0586198503145956</v>
      </c>
      <c r="BC41" s="30" t="str">
        <f t="shared" si="90"/>
        <v>-0,241326506331404+4,20024037532185i</v>
      </c>
      <c r="BD41" s="32">
        <f t="shared" si="91"/>
        <v>12.4797958918073</v>
      </c>
      <c r="BE41" s="31">
        <f t="shared" si="92"/>
        <v>93.2883369190633</v>
      </c>
      <c r="BF41" s="30" t="str">
        <f t="shared" si="93"/>
        <v>35,5573077345744+308,812094041962i</v>
      </c>
      <c r="BG41" s="68">
        <f t="shared" si="94"/>
        <v>49.8510852584364</v>
      </c>
      <c r="BH41" s="31">
        <f t="shared" si="95"/>
        <v>83.4317619100408</v>
      </c>
      <c r="BI41" s="30" t="str">
        <f t="shared" si="96"/>
        <v>55,0171699542418+1043,44713026392i</v>
      </c>
      <c r="BJ41" s="68">
        <f t="shared" si="97"/>
        <v>60.3814659145838</v>
      </c>
      <c r="BK41" s="31">
        <f t="shared" si="98"/>
        <v>86.9817969194706</v>
      </c>
      <c r="BL41" s="32">
        <f t="shared" si="99"/>
        <v>49.8510852584364</v>
      </c>
      <c r="BM41" s="31">
        <f t="shared" si="100"/>
        <v>83.4317619100408</v>
      </c>
      <c r="BO41">
        <f t="shared" si="101"/>
        <v>0</v>
      </c>
      <c r="BP41">
        <f t="shared" si="102"/>
        <v>0</v>
      </c>
    </row>
    <row r="42" customFormat="1" spans="1:68">
      <c r="B42" s="89"/>
      <c r="N42" s="7">
        <v>24</v>
      </c>
      <c r="O42" s="18">
        <f t="shared" si="62"/>
        <v>17.3780082874938</v>
      </c>
      <c r="P42" s="86" t="str">
        <f t="shared" si="50"/>
        <v>75</v>
      </c>
      <c r="Q42" s="4" t="str">
        <f t="shared" si="51"/>
        <v>1+0,178342435688709i</v>
      </c>
      <c r="R42" s="4">
        <f t="shared" si="63"/>
        <v>1.01577853116089</v>
      </c>
      <c r="S42" s="4">
        <f t="shared" si="64"/>
        <v>0.176486930814403</v>
      </c>
      <c r="T42" s="4" t="str">
        <f t="shared" si="52"/>
        <v>1+0,00171208738261161i</v>
      </c>
      <c r="U42" s="4">
        <f t="shared" si="65"/>
        <v>1.00000146562053</v>
      </c>
      <c r="V42" s="4">
        <f t="shared" si="66"/>
        <v>0.00171208570976638</v>
      </c>
      <c r="W42" t="str">
        <f t="shared" si="53"/>
        <v>1-0,000898081551146714i</v>
      </c>
      <c r="X42" s="4">
        <f t="shared" si="67"/>
        <v>1.00000040327515</v>
      </c>
      <c r="Y42" s="4">
        <f t="shared" si="68"/>
        <v>-0.000898081309697464</v>
      </c>
      <c r="Z42" t="str">
        <f t="shared" si="54"/>
        <v>0,999999997534733+0,000281819673155573i</v>
      </c>
      <c r="AA42" s="4">
        <f t="shared" si="69"/>
        <v>1.0000000372459</v>
      </c>
      <c r="AB42" s="4">
        <f t="shared" si="70"/>
        <v>0.000281819666389409</v>
      </c>
      <c r="AC42" s="67" t="str">
        <f t="shared" si="71"/>
        <v>72,6951028860251-12,9247077850849i</v>
      </c>
      <c r="AD42" s="68">
        <f t="shared" si="72"/>
        <v>37.3652605848949</v>
      </c>
      <c r="AE42" s="31">
        <f t="shared" si="73"/>
        <v>-10.0814643357215</v>
      </c>
      <c r="AF42" s="32" t="str">
        <f t="shared" si="74"/>
        <v>249,914648392112</v>
      </c>
      <c r="AG42" s="32" t="str">
        <f t="shared" si="55"/>
        <v>1+0,114648708657027i</v>
      </c>
      <c r="AH42" s="32">
        <f t="shared" si="75"/>
        <v>1.0065507073152</v>
      </c>
      <c r="AI42" s="32">
        <f t="shared" si="76"/>
        <v>0.114150306803114</v>
      </c>
      <c r="AJ42" s="32" t="str">
        <f t="shared" si="56"/>
        <v>1+0,00171208738261161i</v>
      </c>
      <c r="AK42" s="32">
        <f t="shared" si="77"/>
        <v>1.00000146562053</v>
      </c>
      <c r="AL42" s="32">
        <f t="shared" si="78"/>
        <v>0.00171208570976638</v>
      </c>
      <c r="AM42" s="32" t="str">
        <f t="shared" si="57"/>
        <v>1-0,000173258843507477i</v>
      </c>
      <c r="AN42" s="32">
        <f t="shared" si="79"/>
        <v>1.00000001500931</v>
      </c>
      <c r="AO42" s="32">
        <f t="shared" si="80"/>
        <v>-0.000173258841773813</v>
      </c>
      <c r="AP42" s="30" t="str">
        <f t="shared" si="81"/>
        <v>246,71589933532-27,9010834706656i</v>
      </c>
      <c r="AQ42" s="32">
        <f t="shared" si="82"/>
        <v>47.899133941856</v>
      </c>
      <c r="AR42" s="31">
        <f t="shared" si="83"/>
        <v>-6.45216252500464</v>
      </c>
      <c r="AS42" t="str">
        <f t="shared" si="58"/>
        <v>-0,000100699300699301</v>
      </c>
      <c r="AT42" t="str">
        <f t="shared" si="59"/>
        <v>0,0000245348236526039i</v>
      </c>
      <c r="AU42">
        <f t="shared" si="84"/>
        <v>2.45348236526039e-5</v>
      </c>
      <c r="AV42">
        <f t="shared" si="85"/>
        <v>1.5707963267949</v>
      </c>
      <c r="AW42" t="str">
        <f t="shared" si="60"/>
        <v>1+0,00125613796968833i</v>
      </c>
      <c r="AX42">
        <f t="shared" si="86"/>
        <v>1.00000078894099</v>
      </c>
      <c r="AY42">
        <f t="shared" si="87"/>
        <v>0.00125613730900954</v>
      </c>
      <c r="AZ42" t="str">
        <f t="shared" si="61"/>
        <v>1+0,0600540854870142i</v>
      </c>
      <c r="BA42">
        <f t="shared" si="88"/>
        <v>1.00180162366792</v>
      </c>
      <c r="BB42">
        <f t="shared" si="89"/>
        <v>0.0599820464245933</v>
      </c>
      <c r="BC42" s="30" t="str">
        <f t="shared" si="90"/>
        <v>-0,241326489193287+4,10464487522428i</v>
      </c>
      <c r="BD42" s="32">
        <f t="shared" si="91"/>
        <v>12.2804980491263</v>
      </c>
      <c r="BE42" s="31">
        <f t="shared" si="92"/>
        <v>93.3647467403918</v>
      </c>
      <c r="BF42" s="30" t="str">
        <f t="shared" si="93"/>
        <v>35,5080816127909+301,506655868648i</v>
      </c>
      <c r="BG42" s="68">
        <f t="shared" si="94"/>
        <v>49.6457586340212</v>
      </c>
      <c r="BH42" s="31">
        <f t="shared" si="95"/>
        <v>83.2832824046702</v>
      </c>
      <c r="BI42" s="30" t="str">
        <f t="shared" si="96"/>
        <v>54,9849574663153+1019,41442236174i</v>
      </c>
      <c r="BJ42" s="68">
        <f t="shared" si="97"/>
        <v>60.1796319909823</v>
      </c>
      <c r="BK42" s="31">
        <f t="shared" si="98"/>
        <v>86.9125842153872</v>
      </c>
      <c r="BL42" s="32">
        <f t="shared" si="99"/>
        <v>49.6457586340212</v>
      </c>
      <c r="BM42" s="31">
        <f t="shared" si="100"/>
        <v>83.2832824046702</v>
      </c>
      <c r="BO42">
        <f t="shared" si="101"/>
        <v>0</v>
      </c>
      <c r="BP42">
        <f t="shared" si="102"/>
        <v>0</v>
      </c>
    </row>
    <row r="43" customFormat="1" spans="1:68">
      <c r="B43" s="12"/>
      <c r="N43" s="7">
        <v>25</v>
      </c>
      <c r="O43" s="18">
        <f t="shared" si="62"/>
        <v>17.7827941003892</v>
      </c>
      <c r="P43" s="86" t="str">
        <f t="shared" si="50"/>
        <v>75</v>
      </c>
      <c r="Q43" s="4" t="str">
        <f t="shared" si="51"/>
        <v>1+0,182496564666536i</v>
      </c>
      <c r="R43" s="4">
        <f t="shared" si="63"/>
        <v>1.01651610715969</v>
      </c>
      <c r="S43" s="4">
        <f t="shared" si="64"/>
        <v>0.180510095900774</v>
      </c>
      <c r="T43" s="4" t="str">
        <f t="shared" si="52"/>
        <v>1+0,00175196702079875i</v>
      </c>
      <c r="U43" s="4">
        <f t="shared" si="65"/>
        <v>1.00000153469304</v>
      </c>
      <c r="V43" s="4">
        <f t="shared" si="66"/>
        <v>0.00175196522831294</v>
      </c>
      <c r="W43" t="str">
        <f t="shared" si="53"/>
        <v>1-0,000919000557785057i</v>
      </c>
      <c r="X43" s="4">
        <f t="shared" si="67"/>
        <v>1.00000042228092</v>
      </c>
      <c r="Y43" s="4">
        <f t="shared" si="68"/>
        <v>-0.000919000299067531</v>
      </c>
      <c r="Z43" t="str">
        <f t="shared" si="54"/>
        <v>0,999999997418549+0,000288384096626949i</v>
      </c>
      <c r="AA43" s="4">
        <f t="shared" si="69"/>
        <v>1.00000003900124</v>
      </c>
      <c r="AB43" s="4">
        <f t="shared" si="70"/>
        <v>0.000288384089376874</v>
      </c>
      <c r="AC43" s="67" t="str">
        <f t="shared" si="71"/>
        <v>72,5899776276446-13,2065779069577i</v>
      </c>
      <c r="AD43" s="68">
        <f t="shared" si="72"/>
        <v>37.3589566346821</v>
      </c>
      <c r="AE43" s="31">
        <f t="shared" si="73"/>
        <v>-10.311264470888</v>
      </c>
      <c r="AF43" s="32" t="str">
        <f t="shared" si="74"/>
        <v>249,914648392112</v>
      </c>
      <c r="AG43" s="32" t="str">
        <f t="shared" si="55"/>
        <v>1+0,117319220142773i</v>
      </c>
      <c r="AH43" s="32">
        <f t="shared" si="75"/>
        <v>1.0068583810124</v>
      </c>
      <c r="AI43" s="32">
        <f t="shared" si="76"/>
        <v>0.116785369208692</v>
      </c>
      <c r="AJ43" s="32" t="str">
        <f t="shared" si="56"/>
        <v>1+0,00175196702079875i</v>
      </c>
      <c r="AK43" s="32">
        <f t="shared" si="77"/>
        <v>1.00000153469304</v>
      </c>
      <c r="AL43" s="32">
        <f t="shared" si="78"/>
        <v>0.00175196522831294</v>
      </c>
      <c r="AM43" s="32" t="str">
        <f t="shared" si="57"/>
        <v>1-0,000177294560411868i</v>
      </c>
      <c r="AN43" s="32">
        <f t="shared" si="79"/>
        <v>1.00000001571668</v>
      </c>
      <c r="AO43" s="32">
        <f t="shared" si="80"/>
        <v>-0.000177294558554213</v>
      </c>
      <c r="AP43" s="30" t="str">
        <f t="shared" si="81"/>
        <v>246,567193691349-28,5335371623909i</v>
      </c>
      <c r="AQ43" s="32">
        <f t="shared" si="82"/>
        <v>47.8964799261851</v>
      </c>
      <c r="AR43" s="31">
        <f t="shared" si="83"/>
        <v>-6.60108678103496</v>
      </c>
      <c r="AS43" t="str">
        <f t="shared" si="58"/>
        <v>-0,000100699300699301</v>
      </c>
      <c r="AT43" t="str">
        <f t="shared" si="59"/>
        <v>0,0000251063131105535i</v>
      </c>
      <c r="AU43">
        <f t="shared" si="84"/>
        <v>2.51063131105535e-5</v>
      </c>
      <c r="AV43">
        <f t="shared" si="85"/>
        <v>1.5707963267949</v>
      </c>
      <c r="AW43" t="str">
        <f t="shared" si="60"/>
        <v>1+0,00128539718171983i</v>
      </c>
      <c r="AX43">
        <f t="shared" si="86"/>
        <v>1.00000082612262</v>
      </c>
      <c r="AY43">
        <f t="shared" si="87"/>
        <v>0.00128539647378978</v>
      </c>
      <c r="AZ43" t="str">
        <f t="shared" si="61"/>
        <v>1+0,0614529248366907i</v>
      </c>
      <c r="BA43">
        <f t="shared" si="88"/>
        <v>1.00188645163561</v>
      </c>
      <c r="BB43">
        <f t="shared" si="89"/>
        <v>0.0613757414382394</v>
      </c>
      <c r="BC43" s="30" t="str">
        <f t="shared" si="90"/>
        <v>-0,24132647124748+4,01122571216898i</v>
      </c>
      <c r="BD43" s="32">
        <f t="shared" si="91"/>
        <v>12.0812331763393</v>
      </c>
      <c r="BE43" s="31">
        <f t="shared" si="92"/>
        <v>93.4429231559482</v>
      </c>
      <c r="BF43" s="30" t="str">
        <f t="shared" si="93"/>
        <v>35,4566817213385+294,36188154932i</v>
      </c>
      <c r="BG43" s="68">
        <f t="shared" si="94"/>
        <v>49.4401898110214</v>
      </c>
      <c r="BH43" s="31">
        <f t="shared" si="95"/>
        <v>83.1316586850602</v>
      </c>
      <c r="BI43" s="30" t="str">
        <f t="shared" si="96"/>
        <v>54,9512671459843+995,922564947697i</v>
      </c>
      <c r="BJ43" s="68">
        <f t="shared" si="97"/>
        <v>59.9777131025244</v>
      </c>
      <c r="BK43" s="31">
        <f t="shared" si="98"/>
        <v>86.8418363749132</v>
      </c>
      <c r="BL43" s="32">
        <f t="shared" si="99"/>
        <v>49.4401898110214</v>
      </c>
      <c r="BM43" s="31">
        <f t="shared" si="100"/>
        <v>83.1316586850602</v>
      </c>
      <c r="BO43">
        <f t="shared" si="101"/>
        <v>0</v>
      </c>
      <c r="BP43">
        <f t="shared" si="102"/>
        <v>0</v>
      </c>
    </row>
    <row r="44" customFormat="1" spans="1:68">
      <c r="A44" t="s">
        <v>497</v>
      </c>
      <c r="B44" s="12">
        <f>(Isl*(Rsl_int+R_sl)*Fsw)</f>
        <v>60200</v>
      </c>
      <c r="C44" t="s">
        <v>244</v>
      </c>
      <c r="E44" t="s">
        <v>320</v>
      </c>
      <c r="N44" s="7">
        <v>26</v>
      </c>
      <c r="O44" s="18">
        <f t="shared" si="62"/>
        <v>18.1970085860998</v>
      </c>
      <c r="P44" s="86" t="str">
        <f t="shared" si="50"/>
        <v>75</v>
      </c>
      <c r="Q44" s="4" t="str">
        <f t="shared" si="51"/>
        <v>1+0,186747455738578i</v>
      </c>
      <c r="R44" s="4">
        <f t="shared" si="63"/>
        <v>1.01728787087276</v>
      </c>
      <c r="S44" s="4">
        <f t="shared" si="64"/>
        <v>0.184620864860467</v>
      </c>
      <c r="T44" s="4" t="str">
        <f t="shared" si="52"/>
        <v>1+0,00179277557509035i</v>
      </c>
      <c r="U44" s="4">
        <f t="shared" si="65"/>
        <v>1.00000160702084</v>
      </c>
      <c r="V44" s="4">
        <f t="shared" si="66"/>
        <v>0.00179277365440737</v>
      </c>
      <c r="W44" t="str">
        <f t="shared" si="53"/>
        <v>1-0,000940406830683555i</v>
      </c>
      <c r="X44" s="4">
        <f t="shared" si="67"/>
        <v>1.00000044218241</v>
      </c>
      <c r="Y44" s="4">
        <f t="shared" si="68"/>
        <v>-0.000940406553462738</v>
      </c>
      <c r="Z44" t="str">
        <f t="shared" si="54"/>
        <v>0,999999997296889+0,000295101425163573i</v>
      </c>
      <c r="AA44" s="4">
        <f t="shared" si="69"/>
        <v>1.00000004083931</v>
      </c>
      <c r="AB44" s="4">
        <f t="shared" si="70"/>
        <v>0.000295101417394977</v>
      </c>
      <c r="AC44" s="67" t="str">
        <f t="shared" si="71"/>
        <v>72,4802243742728-13,4937024852142i</v>
      </c>
      <c r="AD44" s="68">
        <f t="shared" si="72"/>
        <v>37.352365383573</v>
      </c>
      <c r="AE44" s="31">
        <f t="shared" si="73"/>
        <v>-10.546067394825</v>
      </c>
      <c r="AF44" s="32" t="str">
        <f t="shared" si="74"/>
        <v>249,914648392112</v>
      </c>
      <c r="AG44" s="32" t="str">
        <f t="shared" si="55"/>
        <v>1+0,120051935831943i</v>
      </c>
      <c r="AH44" s="32">
        <f t="shared" si="75"/>
        <v>1.00718045418733</v>
      </c>
      <c r="AI44" s="32">
        <f t="shared" si="76"/>
        <v>0.119480124276239</v>
      </c>
      <c r="AJ44" s="32" t="str">
        <f t="shared" si="56"/>
        <v>1+0,00179277557509035i</v>
      </c>
      <c r="AK44" s="32">
        <f t="shared" si="77"/>
        <v>1.00000160702084</v>
      </c>
      <c r="AL44" s="32">
        <f t="shared" si="78"/>
        <v>0.00179277365440737</v>
      </c>
      <c r="AM44" s="32" t="str">
        <f t="shared" si="57"/>
        <v>1-0,000181424281238962i</v>
      </c>
      <c r="AN44" s="32">
        <f t="shared" si="79"/>
        <v>1.00000001645738</v>
      </c>
      <c r="AO44" s="32">
        <f t="shared" si="80"/>
        <v>-0.000181424279248449</v>
      </c>
      <c r="AP44" s="30" t="str">
        <f t="shared" si="81"/>
        <v>246,411674427935-29,179498234625i</v>
      </c>
      <c r="AQ44" s="32">
        <f t="shared" si="82"/>
        <v>47.8937025686596</v>
      </c>
      <c r="AR44" s="31">
        <f t="shared" si="83"/>
        <v>-6.75338333820943</v>
      </c>
      <c r="AS44" t="str">
        <f t="shared" si="58"/>
        <v>-0,000100699300699301</v>
      </c>
      <c r="AT44" t="str">
        <f t="shared" si="59"/>
        <v>0,0000256911142680358i</v>
      </c>
      <c r="AU44">
        <f t="shared" si="84"/>
        <v>2.56911142680358e-5</v>
      </c>
      <c r="AV44">
        <f t="shared" si="85"/>
        <v>1.5707963267949</v>
      </c>
      <c r="AW44" t="str">
        <f t="shared" si="60"/>
        <v>1+0,00131533792835134i</v>
      </c>
      <c r="AX44">
        <f t="shared" si="86"/>
        <v>1.00000086505656</v>
      </c>
      <c r="AY44">
        <f t="shared" si="87"/>
        <v>0.00131533716979066</v>
      </c>
      <c r="AZ44" t="str">
        <f t="shared" si="61"/>
        <v>1+0,0628843473405416i</v>
      </c>
      <c r="BA44">
        <f t="shared" si="88"/>
        <v>1.00197526972498</v>
      </c>
      <c r="BB44">
        <f t="shared" si="89"/>
        <v>0.0628016526421002</v>
      </c>
      <c r="BC44" s="30" t="str">
        <f t="shared" si="90"/>
        <v>-0,241326452455915+3,91993335407891i</v>
      </c>
      <c r="BD44" s="32">
        <f t="shared" si="91"/>
        <v>11.8820028155672</v>
      </c>
      <c r="BE44" s="31">
        <f t="shared" si="92"/>
        <v>93.5229063743733</v>
      </c>
      <c r="BF44" s="30" t="str">
        <f t="shared" si="93"/>
        <v>35,4030190203566+287,374036387087i</v>
      </c>
      <c r="BG44" s="68">
        <f t="shared" si="94"/>
        <v>49.2343681991402</v>
      </c>
      <c r="BH44" s="31">
        <f t="shared" si="95"/>
        <v>82.9768389795483</v>
      </c>
      <c r="BI44" s="30" t="str">
        <f t="shared" si="96"/>
        <v>54,9160331517778+972,959126217901i</v>
      </c>
      <c r="BJ44" s="68">
        <f t="shared" si="97"/>
        <v>59.7757053842269</v>
      </c>
      <c r="BK44" s="31">
        <f t="shared" si="98"/>
        <v>86.7695230361638</v>
      </c>
      <c r="BL44" s="32">
        <f t="shared" si="99"/>
        <v>49.2343681991402</v>
      </c>
      <c r="BM44" s="31">
        <f t="shared" si="100"/>
        <v>82.9768389795483</v>
      </c>
      <c r="BO44">
        <f t="shared" si="101"/>
        <v>0</v>
      </c>
      <c r="BP44">
        <f t="shared" si="102"/>
        <v>0</v>
      </c>
    </row>
    <row r="45" spans="1:68">
      <c r="A45" t="s">
        <v>498</v>
      </c>
      <c r="B45" s="12">
        <f>(R_cs*VIN_var*Acs)/Lm</f>
        <v>8510.63829787234</v>
      </c>
      <c r="C45" t="s">
        <v>244</v>
      </c>
      <c r="E45" t="s">
        <v>322</v>
      </c>
      <c r="N45" s="7">
        <v>27</v>
      </c>
      <c r="O45" s="18">
        <f t="shared" si="62"/>
        <v>18.6208713666287</v>
      </c>
      <c r="P45" s="86" t="str">
        <f t="shared" si="50"/>
        <v>75</v>
      </c>
      <c r="Q45" s="4" t="str">
        <f t="shared" si="51"/>
        <v>1+0,191097362783547i</v>
      </c>
      <c r="R45" s="4">
        <f t="shared" si="63"/>
        <v>1.01809537964909</v>
      </c>
      <c r="S45" s="4">
        <f t="shared" si="64"/>
        <v>0.188820861281274</v>
      </c>
      <c r="T45" s="4" t="str">
        <f t="shared" si="52"/>
        <v>1+0,00183453468272205i</v>
      </c>
      <c r="U45" s="4">
        <f t="shared" si="65"/>
        <v>1.00000168275734</v>
      </c>
      <c r="V45" s="4">
        <f t="shared" si="66"/>
        <v>0.00183453262467334</v>
      </c>
      <c r="W45" t="str">
        <f t="shared" si="53"/>
        <v>1-0,000962311719731435i</v>
      </c>
      <c r="X45" s="4">
        <f t="shared" si="67"/>
        <v>1.00000046302182</v>
      </c>
      <c r="Y45" s="4">
        <f t="shared" si="68"/>
        <v>-0.000962311422683985</v>
      </c>
      <c r="Z45" t="str">
        <f t="shared" si="54"/>
        <v>0,999999997169495+0,000301975220381948i</v>
      </c>
      <c r="AA45" s="4">
        <f t="shared" si="69"/>
        <v>1.00000004276401</v>
      </c>
      <c r="AB45" s="4">
        <f t="shared" si="70"/>
        <v>0.000301975212057748</v>
      </c>
      <c r="AC45" s="67" t="str">
        <f t="shared" si="71"/>
        <v>72,3656548792116-13,786117266652i</v>
      </c>
      <c r="AD45" s="68">
        <f t="shared" si="72"/>
        <v>37.3454742039334</v>
      </c>
      <c r="AE45" s="31">
        <f t="shared" si="73"/>
        <v>-10.7859657469349</v>
      </c>
      <c r="AF45" s="32" t="str">
        <f t="shared" si="74"/>
        <v>249,914648392112</v>
      </c>
      <c r="AG45" s="32" t="str">
        <f t="shared" si="55"/>
        <v>1+0,122848304646566i</v>
      </c>
      <c r="AH45" s="32">
        <f t="shared" si="75"/>
        <v>1.00751759585356</v>
      </c>
      <c r="AI45" s="32">
        <f t="shared" si="76"/>
        <v>0.122235844168184</v>
      </c>
      <c r="AJ45" s="32" t="str">
        <f t="shared" si="56"/>
        <v>1+0,00183453468272205i</v>
      </c>
      <c r="AK45" s="32">
        <f t="shared" si="77"/>
        <v>1.00000168275734</v>
      </c>
      <c r="AL45" s="32">
        <f t="shared" si="78"/>
        <v>0.00183453262467334</v>
      </c>
      <c r="AM45" s="32" t="str">
        <f t="shared" si="57"/>
        <v>1-0,000185650195621402i</v>
      </c>
      <c r="AN45" s="32">
        <f t="shared" si="79"/>
        <v>1.000000017233</v>
      </c>
      <c r="AO45" s="32">
        <f t="shared" si="80"/>
        <v>-0.000185650193488529</v>
      </c>
      <c r="AP45" s="30" t="str">
        <f t="shared" si="81"/>
        <v>246,249038800214-29,8391965506197i</v>
      </c>
      <c r="AQ45" s="32">
        <f t="shared" si="82"/>
        <v>47.8907962216029</v>
      </c>
      <c r="AR45" s="31">
        <f t="shared" si="83"/>
        <v>-6.90912397183559</v>
      </c>
      <c r="AS45" t="str">
        <f t="shared" si="58"/>
        <v>-0,000100699300699301</v>
      </c>
      <c r="AT45" t="str">
        <f t="shared" si="59"/>
        <v>0,0000262895371943653i</v>
      </c>
      <c r="AU45">
        <f t="shared" si="84"/>
        <v>2.62895371943653e-5</v>
      </c>
      <c r="AV45">
        <f t="shared" si="85"/>
        <v>1.5707963267949</v>
      </c>
      <c r="AW45" t="str">
        <f t="shared" si="60"/>
        <v>1+0,00134597608456301i</v>
      </c>
      <c r="AX45">
        <f t="shared" si="86"/>
        <v>1.0000009058254</v>
      </c>
      <c r="AY45">
        <f t="shared" si="87"/>
        <v>0.00134597527175064</v>
      </c>
      <c r="AZ45" t="str">
        <f t="shared" si="61"/>
        <v>1+0,064349111957725i</v>
      </c>
      <c r="BA45">
        <f t="shared" si="88"/>
        <v>1.00206826524431</v>
      </c>
      <c r="BB45">
        <f t="shared" si="89"/>
        <v>0.0642605128665199</v>
      </c>
      <c r="BC45" s="30" t="str">
        <f t="shared" si="90"/>
        <v>-0,241326432778732+3,83071939653727i</v>
      </c>
      <c r="BD45" s="32">
        <f t="shared" si="91"/>
        <v>11.6828085804869</v>
      </c>
      <c r="BE45" s="31">
        <f t="shared" si="92"/>
        <v>93.6047374741974</v>
      </c>
      <c r="BF45" s="30" t="str">
        <f t="shared" si="93"/>
        <v>35,3470014686042+280,539472290748i</v>
      </c>
      <c r="BG45" s="68">
        <f t="shared" si="94"/>
        <v>49.0282827844203</v>
      </c>
      <c r="BH45" s="31">
        <f t="shared" si="95"/>
        <v>82.8187717272625</v>
      </c>
      <c r="BI45" s="30" t="str">
        <f t="shared" si="96"/>
        <v>54,8791868946997+950,511956171183i</v>
      </c>
      <c r="BJ45" s="68">
        <f t="shared" si="97"/>
        <v>59.5736048020898</v>
      </c>
      <c r="BK45" s="31">
        <f t="shared" si="98"/>
        <v>86.6956135023618</v>
      </c>
      <c r="BL45" s="32">
        <f t="shared" si="99"/>
        <v>49.0282827844203</v>
      </c>
      <c r="BM45" s="31">
        <f t="shared" si="100"/>
        <v>82.8187717272625</v>
      </c>
      <c r="BO45">
        <f t="shared" si="101"/>
        <v>0</v>
      </c>
      <c r="BP45">
        <f t="shared" si="102"/>
        <v>0</v>
      </c>
    </row>
    <row r="46" spans="1:68">
      <c r="B46" s="12"/>
      <c r="N46" s="7">
        <v>28</v>
      </c>
      <c r="O46" s="18">
        <f t="shared" si="62"/>
        <v>19.0546071796325</v>
      </c>
      <c r="P46" s="86" t="str">
        <f t="shared" si="50"/>
        <v>75</v>
      </c>
      <c r="Q46" s="4" t="str">
        <f t="shared" si="51"/>
        <v>1+0,195548592179738i</v>
      </c>
      <c r="R46" s="4">
        <f t="shared" si="63"/>
        <v>1.01894025924167</v>
      </c>
      <c r="S46" s="4">
        <f t="shared" si="64"/>
        <v>0.19311171906622</v>
      </c>
      <c r="T46" s="4" t="str">
        <f t="shared" si="52"/>
        <v>1+0,00187726648492549i</v>
      </c>
      <c r="U46" s="4">
        <f t="shared" si="65"/>
        <v>1.00000176206318</v>
      </c>
      <c r="V46" s="4">
        <f t="shared" si="66"/>
        <v>0.00187726427968678</v>
      </c>
      <c r="W46" t="str">
        <f t="shared" si="53"/>
        <v>1-0,000984726839190826i</v>
      </c>
      <c r="X46" s="4">
        <f t="shared" si="67"/>
        <v>1.00000048484336</v>
      </c>
      <c r="Y46" s="4">
        <f t="shared" si="68"/>
        <v>-0.000984726520898757</v>
      </c>
      <c r="Z46" t="str">
        <f t="shared" si="54"/>
        <v>0,999999997036098+0,000309009126859286i</v>
      </c>
      <c r="AA46" s="4">
        <f t="shared" si="69"/>
        <v>1.00000004477942</v>
      </c>
      <c r="AB46" s="4">
        <f t="shared" si="70"/>
        <v>0.000309009117939745</v>
      </c>
      <c r="AC46" s="67" t="str">
        <f t="shared" si="71"/>
        <v>72,2460746757141-14,0838534513928i</v>
      </c>
      <c r="AD46" s="68">
        <f t="shared" si="72"/>
        <v>37.3382699563852</v>
      </c>
      <c r="AE46" s="31">
        <f t="shared" si="73"/>
        <v>-11.0310527486648</v>
      </c>
      <c r="AF46" s="32" t="str">
        <f t="shared" si="74"/>
        <v>249,914648392112</v>
      </c>
      <c r="AG46" s="32" t="str">
        <f t="shared" si="55"/>
        <v>1+0,125709809258403i</v>
      </c>
      <c r="AH46" s="32">
        <f t="shared" si="75"/>
        <v>1.00787050564236</v>
      </c>
      <c r="AI46" s="32">
        <f t="shared" si="76"/>
        <v>0.125053822498551</v>
      </c>
      <c r="AJ46" s="32" t="str">
        <f t="shared" si="56"/>
        <v>1+0,00187726648492549i</v>
      </c>
      <c r="AK46" s="32">
        <f t="shared" si="77"/>
        <v>1.00000176206318</v>
      </c>
      <c r="AL46" s="32">
        <f t="shared" si="78"/>
        <v>0.00187726427968678</v>
      </c>
      <c r="AM46" s="32" t="str">
        <f t="shared" si="57"/>
        <v>1-0,000189974544194933i</v>
      </c>
      <c r="AN46" s="32">
        <f t="shared" si="79"/>
        <v>1.00000001804516</v>
      </c>
      <c r="AO46" s="32">
        <f t="shared" si="80"/>
        <v>-0.000189974541909519</v>
      </c>
      <c r="AP46" s="30" t="str">
        <f t="shared" si="81"/>
        <v>246,078971508381-30,51286159872i</v>
      </c>
      <c r="AQ46" s="32">
        <f t="shared" si="82"/>
        <v>47.8877549867583</v>
      </c>
      <c r="AR46" s="31">
        <f t="shared" si="83"/>
        <v>-7.06838166035475</v>
      </c>
      <c r="AS46" t="str">
        <f t="shared" si="58"/>
        <v>-0,000100699300699301</v>
      </c>
      <c r="AT46" t="str">
        <f t="shared" si="59"/>
        <v>0,0000269018991812982i</v>
      </c>
      <c r="AU46">
        <f t="shared" si="84"/>
        <v>2.69018991812982e-5</v>
      </c>
      <c r="AV46">
        <f t="shared" si="85"/>
        <v>1.5707963267949</v>
      </c>
      <c r="AW46" t="str">
        <f t="shared" si="60"/>
        <v>1+0,00137732789511083i</v>
      </c>
      <c r="AX46">
        <f t="shared" si="86"/>
        <v>1.00000094851562</v>
      </c>
      <c r="AY46">
        <f t="shared" si="87"/>
        <v>0.00137732702416673</v>
      </c>
      <c r="AZ46" t="str">
        <f t="shared" si="61"/>
        <v>1+0,0658479953258302i</v>
      </c>
      <c r="BA46">
        <f t="shared" si="88"/>
        <v>1.00216563425834</v>
      </c>
      <c r="BB46">
        <f t="shared" si="89"/>
        <v>0.0657530707656709</v>
      </c>
      <c r="BC46" s="30" t="str">
        <f t="shared" si="90"/>
        <v>-0,2413264121742+3,74353653712278i</v>
      </c>
      <c r="BD46" s="32">
        <f t="shared" si="91"/>
        <v>11.4836521595959</v>
      </c>
      <c r="BE46" s="31">
        <f t="shared" si="92"/>
        <v>93.6884584194039</v>
      </c>
      <c r="BF46" s="30" t="str">
        <f t="shared" si="93"/>
        <v>35,2885339836123+273,854626035248i</v>
      </c>
      <c r="BG46" s="68">
        <f t="shared" si="94"/>
        <v>48.8219221159812</v>
      </c>
      <c r="BH46" s="31">
        <f t="shared" si="95"/>
        <v>82.6574056707391</v>
      </c>
      <c r="BI46" s="30" t="str">
        <f t="shared" si="96"/>
        <v>54,8406569413441+928,569180274007i</v>
      </c>
      <c r="BJ46" s="68">
        <f t="shared" si="97"/>
        <v>59.3714071463543</v>
      </c>
      <c r="BK46" s="31">
        <f t="shared" si="98"/>
        <v>86.6200767590492</v>
      </c>
      <c r="BL46" s="32">
        <f t="shared" si="99"/>
        <v>48.8219221159812</v>
      </c>
      <c r="BM46" s="31">
        <f t="shared" si="100"/>
        <v>82.6574056707391</v>
      </c>
      <c r="BO46">
        <f t="shared" si="101"/>
        <v>0</v>
      </c>
      <c r="BP46">
        <f t="shared" si="102"/>
        <v>0</v>
      </c>
    </row>
    <row r="47" spans="1:68">
      <c r="A47" t="s">
        <v>499</v>
      </c>
      <c r="B47" s="12">
        <f>2*PI()*Fsw</f>
        <v>4398229.71502571</v>
      </c>
      <c r="C47" t="s">
        <v>324</v>
      </c>
      <c r="N47" s="7">
        <v>29</v>
      </c>
      <c r="O47" s="18">
        <f t="shared" si="62"/>
        <v>19.4984459975805</v>
      </c>
      <c r="P47" s="86" t="str">
        <f t="shared" si="50"/>
        <v>75</v>
      </c>
      <c r="Q47" s="4" t="str">
        <f t="shared" si="51"/>
        <v>1+0,200103504027892i</v>
      </c>
      <c r="R47" s="4">
        <f t="shared" si="63"/>
        <v>1.01982420657888</v>
      </c>
      <c r="S47" s="4">
        <f t="shared" si="64"/>
        <v>0.197495080972364</v>
      </c>
      <c r="T47" s="4" t="str">
        <f t="shared" si="52"/>
        <v>1+0,00192099363866777i</v>
      </c>
      <c r="U47" s="4">
        <f t="shared" si="65"/>
        <v>1.00000184510658</v>
      </c>
      <c r="V47" s="4">
        <f t="shared" si="66"/>
        <v>0.00192099127571216</v>
      </c>
      <c r="W47" t="str">
        <f t="shared" si="53"/>
        <v>1-0,00100766407385474i</v>
      </c>
      <c r="X47" s="4">
        <f t="shared" si="67"/>
        <v>1.00000050769331</v>
      </c>
      <c r="Y47" s="4">
        <f t="shared" si="68"/>
        <v>-0.00100766373279865</v>
      </c>
      <c r="Z47" t="str">
        <f t="shared" si="54"/>
        <v>0,999999996896413+0,0003162068740659i</v>
      </c>
      <c r="AA47" s="4">
        <f t="shared" si="69"/>
        <v>1.00000004688981</v>
      </c>
      <c r="AB47" s="4">
        <f t="shared" si="70"/>
        <v>0.00031620686450844</v>
      </c>
      <c r="AC47" s="67" t="str">
        <f t="shared" si="71"/>
        <v>72,1212830079112-14,3869372933832i</v>
      </c>
      <c r="AD47" s="68">
        <f t="shared" si="72"/>
        <v>37.3307389730778</v>
      </c>
      <c r="AE47" s="31">
        <f t="shared" si="73"/>
        <v>-11.2814221195783</v>
      </c>
      <c r="AF47" s="32" t="str">
        <f t="shared" si="74"/>
        <v>249,914648392112</v>
      </c>
      <c r="AG47" s="32" t="str">
        <f t="shared" si="55"/>
        <v>1+0,128637966875074i</v>
      </c>
      <c r="AH47" s="32">
        <f t="shared" si="75"/>
        <v>1.00823991515995</v>
      </c>
      <c r="AI47" s="32">
        <f t="shared" si="76"/>
        <v>0.127935374280448</v>
      </c>
      <c r="AJ47" s="32" t="str">
        <f t="shared" si="56"/>
        <v>1+0,00192099363866777i</v>
      </c>
      <c r="AK47" s="32">
        <f t="shared" si="77"/>
        <v>1.00000184510658</v>
      </c>
      <c r="AL47" s="32">
        <f t="shared" si="78"/>
        <v>0.00192099127571216</v>
      </c>
      <c r="AM47" s="32" t="str">
        <f t="shared" si="57"/>
        <v>1-0,000194399619786404i</v>
      </c>
      <c r="AN47" s="32">
        <f t="shared" si="79"/>
        <v>1.00000001889561</v>
      </c>
      <c r="AO47" s="32">
        <f t="shared" si="80"/>
        <v>-0.000194399617337538</v>
      </c>
      <c r="AP47" s="30" t="str">
        <f t="shared" si="81"/>
        <v>245,901144262689-31,2007221130619i</v>
      </c>
      <c r="AQ47" s="32">
        <f t="shared" si="82"/>
        <v>47.8845727049321</v>
      </c>
      <c r="AR47" s="31">
        <f t="shared" si="83"/>
        <v>-7.23123058172882</v>
      </c>
      <c r="AS47" t="str">
        <f t="shared" si="58"/>
        <v>-0,000100699300699301</v>
      </c>
      <c r="AT47" t="str">
        <f t="shared" si="59"/>
        <v>0,0000275285249112658i</v>
      </c>
      <c r="AU47">
        <f t="shared" si="84"/>
        <v>2.75285249112658e-5</v>
      </c>
      <c r="AV47">
        <f t="shared" si="85"/>
        <v>1.5707963267949</v>
      </c>
      <c r="AW47" t="str">
        <f t="shared" si="60"/>
        <v>1+0,0014094099831397i</v>
      </c>
      <c r="AX47">
        <f t="shared" si="86"/>
        <v>1.00000099321776</v>
      </c>
      <c r="AY47">
        <f t="shared" si="87"/>
        <v>0.00140940904990633</v>
      </c>
      <c r="AZ47" t="str">
        <f t="shared" si="61"/>
        <v>1+0,0673817921726575i</v>
      </c>
      <c r="BA47">
        <f t="shared" si="88"/>
        <v>1.00226758199415</v>
      </c>
      <c r="BB47">
        <f t="shared" si="89"/>
        <v>0.0672800910984036</v>
      </c>
      <c r="BC47" s="30" t="str">
        <f t="shared" si="90"/>
        <v>-0,241326390598605+3,65833855032914i</v>
      </c>
      <c r="BD47" s="32">
        <f t="shared" si="91"/>
        <v>11.2845353196209</v>
      </c>
      <c r="BE47" s="31">
        <f t="shared" si="92"/>
        <v>93.7741120750271</v>
      </c>
      <c r="BF47" s="30" t="str">
        <f t="shared" si="93"/>
        <v>35,227518407912+267,31601757582i</v>
      </c>
      <c r="BG47" s="68">
        <f t="shared" si="94"/>
        <v>48.6152742926987</v>
      </c>
      <c r="BH47" s="31">
        <f t="shared" si="95"/>
        <v>82.4926899554487</v>
      </c>
      <c r="BI47" s="30" t="str">
        <f t="shared" si="96"/>
        <v>54,8003689153396+907,119193277858i</v>
      </c>
      <c r="BJ47" s="68">
        <f t="shared" si="97"/>
        <v>59.169108024553</v>
      </c>
      <c r="BK47" s="31">
        <f t="shared" si="98"/>
        <v>86.5428814932982</v>
      </c>
      <c r="BL47" s="32">
        <f t="shared" si="99"/>
        <v>48.6152742926987</v>
      </c>
      <c r="BM47" s="31">
        <f t="shared" si="100"/>
        <v>82.4926899554487</v>
      </c>
      <c r="BO47">
        <f t="shared" si="101"/>
        <v>0</v>
      </c>
      <c r="BP47">
        <f t="shared" si="102"/>
        <v>0</v>
      </c>
    </row>
    <row r="48" spans="1:68">
      <c r="A48" t="s">
        <v>500</v>
      </c>
      <c r="B48" s="12">
        <f>1/(PI()*(((1-DC_VIN_Var)*(1+(B44/B45)))-0.5))</f>
        <v>0.176181640174471</v>
      </c>
      <c r="N48" s="7">
        <v>30</v>
      </c>
      <c r="O48" s="18">
        <f t="shared" si="62"/>
        <v>19.9526231496888</v>
      </c>
      <c r="P48" s="86" t="str">
        <f t="shared" si="50"/>
        <v>75</v>
      </c>
      <c r="Q48" s="4" t="str">
        <f t="shared" si="51"/>
        <v>1+0,204764513402566i</v>
      </c>
      <c r="R48" s="4">
        <f t="shared" si="63"/>
        <v>1.02074899262698</v>
      </c>
      <c r="S48" s="4">
        <f t="shared" si="64"/>
        <v>0.201972597023442</v>
      </c>
      <c r="T48" s="4" t="str">
        <f t="shared" si="52"/>
        <v>1+0,00196573932866464i</v>
      </c>
      <c r="U48" s="4">
        <f t="shared" si="65"/>
        <v>1.00000193206369</v>
      </c>
      <c r="V48" s="4">
        <f t="shared" si="66"/>
        <v>0.00196573679671235</v>
      </c>
      <c r="W48" t="str">
        <f t="shared" si="53"/>
        <v>1-0,00103113558534864i</v>
      </c>
      <c r="X48" s="4">
        <f t="shared" si="67"/>
        <v>1.00000053162016</v>
      </c>
      <c r="Y48" s="4">
        <f t="shared" si="68"/>
        <v>-0.00103113521990047</v>
      </c>
      <c r="Z48" t="str">
        <f t="shared" si="54"/>
        <v>0,999999996750146+0,000323572278342639i</v>
      </c>
      <c r="AA48" s="4">
        <f t="shared" si="69"/>
        <v>1.00000004909965</v>
      </c>
      <c r="AB48" s="4">
        <f t="shared" si="70"/>
        <v>0.000323572268101636</v>
      </c>
      <c r="AC48" s="67" t="str">
        <f t="shared" si="71"/>
        <v>71,9910727758178-14,6953896803138i</v>
      </c>
      <c r="AD48" s="68">
        <f t="shared" si="72"/>
        <v>37.3228670407925</v>
      </c>
      <c r="AE48" s="31">
        <f t="shared" si="73"/>
        <v>-11.5371679861919</v>
      </c>
      <c r="AF48" s="32" t="str">
        <f t="shared" si="74"/>
        <v>249,914648392112</v>
      </c>
      <c r="AG48" s="32" t="str">
        <f t="shared" si="55"/>
        <v>1+0,131634330044507i</v>
      </c>
      <c r="AH48" s="32">
        <f t="shared" si="75"/>
        <v>1.00862658940079</v>
      </c>
      <c r="AI48" s="32">
        <f t="shared" si="76"/>
        <v>0.130881835836709</v>
      </c>
      <c r="AJ48" s="32" t="str">
        <f t="shared" si="56"/>
        <v>1+0,00196573932866464i</v>
      </c>
      <c r="AK48" s="32">
        <f t="shared" si="77"/>
        <v>1.00000193206369</v>
      </c>
      <c r="AL48" s="32">
        <f t="shared" si="78"/>
        <v>0.00196573679671235</v>
      </c>
      <c r="AM48" s="32" t="str">
        <f t="shared" si="57"/>
        <v>1-0,000198927768629471i</v>
      </c>
      <c r="AN48" s="32">
        <f t="shared" si="79"/>
        <v>1.00000001978613</v>
      </c>
      <c r="AO48" s="32">
        <f t="shared" si="80"/>
        <v>-0.000198927766005464</v>
      </c>
      <c r="AP48" s="30" t="str">
        <f t="shared" si="81"/>
        <v>245,715215341855-31,9030056634655i</v>
      </c>
      <c r="AQ48" s="32">
        <f t="shared" si="82"/>
        <v>47.8812429452807</v>
      </c>
      <c r="AR48" s="31">
        <f t="shared" si="83"/>
        <v>-7.39774610770238</v>
      </c>
      <c r="AS48" t="str">
        <f t="shared" si="58"/>
        <v>-0,000100699300699301</v>
      </c>
      <c r="AT48" t="str">
        <f t="shared" si="59"/>
        <v>0,0000281697466295244i</v>
      </c>
      <c r="AU48">
        <f t="shared" si="84"/>
        <v>2.81697466295244e-5</v>
      </c>
      <c r="AV48">
        <f t="shared" si="85"/>
        <v>1.5707963267949</v>
      </c>
      <c r="AW48" t="str">
        <f t="shared" si="60"/>
        <v>1+0,00144223935899739i</v>
      </c>
      <c r="AX48">
        <f t="shared" si="86"/>
        <v>1.00000104002664</v>
      </c>
      <c r="AY48">
        <f t="shared" si="87"/>
        <v>0.00144223835901988</v>
      </c>
      <c r="AZ48" t="str">
        <f t="shared" si="61"/>
        <v>1+0,0689513157375987i</v>
      </c>
      <c r="BA48">
        <f t="shared" si="88"/>
        <v>1.00237432326549</v>
      </c>
      <c r="BB48">
        <f t="shared" si="89"/>
        <v>0.0688423550095405</v>
      </c>
      <c r="BC48" s="30" t="str">
        <f t="shared" si="90"/>
        <v>-0,24132636800619+3,57508026305587i</v>
      </c>
      <c r="BD48" s="32">
        <f t="shared" si="91"/>
        <v>11.0854599090761</v>
      </c>
      <c r="BE48" s="31">
        <f t="shared" si="92"/>
        <v>93.8617422227643</v>
      </c>
      <c r="BF48" s="30" t="str">
        <f t="shared" si="93"/>
        <v>35,1638534821474+260,920248415031i</v>
      </c>
      <c r="BG48" s="68">
        <f t="shared" si="94"/>
        <v>48.4083269498686</v>
      </c>
      <c r="BH48" s="31">
        <f t="shared" si="95"/>
        <v>82.3245742365724</v>
      </c>
      <c r="BI48" s="30" t="str">
        <f t="shared" si="96"/>
        <v>54,7582453973064+886,150653186434i</v>
      </c>
      <c r="BJ48" s="68">
        <f t="shared" si="97"/>
        <v>58.9667028543568</v>
      </c>
      <c r="BK48" s="31">
        <f t="shared" si="98"/>
        <v>86.4639961150619</v>
      </c>
      <c r="BL48" s="32">
        <f t="shared" si="99"/>
        <v>48.4083269498686</v>
      </c>
      <c r="BM48" s="31">
        <f t="shared" si="100"/>
        <v>82.3245742365724</v>
      </c>
      <c r="BO48">
        <f t="shared" si="101"/>
        <v>0</v>
      </c>
      <c r="BP48">
        <f t="shared" si="102"/>
        <v>0</v>
      </c>
    </row>
    <row r="49" spans="1:68">
      <c r="N49" s="7">
        <v>31</v>
      </c>
      <c r="O49" s="18">
        <f t="shared" si="62"/>
        <v>20.4173794466953</v>
      </c>
      <c r="P49" s="86" t="str">
        <f t="shared" si="50"/>
        <v>75</v>
      </c>
      <c r="Q49" s="4" t="str">
        <f t="shared" si="51"/>
        <v>1+0,209534091632624i</v>
      </c>
      <c r="R49" s="4">
        <f t="shared" si="63"/>
        <v>1.02171646534462</v>
      </c>
      <c r="S49" s="4">
        <f t="shared" si="64"/>
        <v>0.2065459227899</v>
      </c>
      <c r="T49" s="4" t="str">
        <f t="shared" si="52"/>
        <v>1+0,00201152727967319i</v>
      </c>
      <c r="U49" s="4">
        <f t="shared" si="65"/>
        <v>1.00000202311895</v>
      </c>
      <c r="V49" s="4">
        <f t="shared" si="66"/>
        <v>0.00201152456663772</v>
      </c>
      <c r="W49" t="str">
        <f t="shared" si="53"/>
        <v>1-0,00105515381857857i</v>
      </c>
      <c r="X49" s="4">
        <f t="shared" si="67"/>
        <v>1.00000055667464</v>
      </c>
      <c r="Y49" s="4">
        <f t="shared" si="68"/>
        <v>-0.00105515342699381</v>
      </c>
      <c r="Z49" t="str">
        <f t="shared" si="54"/>
        <v>0,999999996596985+0,000331109244924339i</v>
      </c>
      <c r="AA49" s="4">
        <f t="shared" si="69"/>
        <v>1.00000005141365</v>
      </c>
      <c r="AB49" s="4">
        <f t="shared" si="70"/>
        <v>0.000331109233950906</v>
      </c>
      <c r="AC49" s="67" t="str">
        <f t="shared" si="71"/>
        <v>71,8552304962011-15,0092256926354i</v>
      </c>
      <c r="AD49" s="68">
        <f t="shared" si="72"/>
        <v>37.3146393839217</v>
      </c>
      <c r="AE49" s="31">
        <f t="shared" si="73"/>
        <v>-11.7983847832097</v>
      </c>
      <c r="AF49" s="32" t="str">
        <f t="shared" si="74"/>
        <v>249,914648392112</v>
      </c>
      <c r="AG49" s="32" t="str">
        <f t="shared" si="55"/>
        <v>1+0,134700487478115i</v>
      </c>
      <c r="AH49" s="32">
        <f t="shared" si="75"/>
        <v>1.00903132821872</v>
      </c>
      <c r="AI49" s="32">
        <f t="shared" si="76"/>
        <v>0.133894564670729</v>
      </c>
      <c r="AJ49" s="32" t="str">
        <f t="shared" si="56"/>
        <v>1+0,00201152727967319i</v>
      </c>
      <c r="AK49" s="32">
        <f t="shared" si="77"/>
        <v>1.00000202311895</v>
      </c>
      <c r="AL49" s="32">
        <f t="shared" si="78"/>
        <v>0.00201152456663772</v>
      </c>
      <c r="AM49" s="32" t="str">
        <f t="shared" si="57"/>
        <v>1-0,000203561391608584i</v>
      </c>
      <c r="AN49" s="32">
        <f t="shared" si="79"/>
        <v>1.00000002071862</v>
      </c>
      <c r="AO49" s="32">
        <f t="shared" si="80"/>
        <v>-0.00020356138879691</v>
      </c>
      <c r="AP49" s="30" t="str">
        <f t="shared" si="81"/>
        <v>245,520829145724-32,6199382127394i</v>
      </c>
      <c r="AQ49" s="32">
        <f t="shared" si="82"/>
        <v>47.8777589942371</v>
      </c>
      <c r="AR49" s="31">
        <f t="shared" si="83"/>
        <v>-7.56800479576891</v>
      </c>
      <c r="AS49" t="str">
        <f t="shared" si="58"/>
        <v>-0,000100699300699301</v>
      </c>
      <c r="AT49" t="str">
        <f t="shared" si="59"/>
        <v>0,0000288259043203168i</v>
      </c>
      <c r="AU49">
        <f t="shared" si="84"/>
        <v>2.88259043203168e-5</v>
      </c>
      <c r="AV49">
        <f t="shared" si="85"/>
        <v>1.5707963267949</v>
      </c>
      <c r="AW49" t="str">
        <f t="shared" si="60"/>
        <v>1+0,00147583342925352i</v>
      </c>
      <c r="AX49">
        <f t="shared" si="86"/>
        <v>1.00000108904156</v>
      </c>
      <c r="AY49">
        <f t="shared" si="87"/>
        <v>0.00147583235775837</v>
      </c>
      <c r="AZ49" t="str">
        <f t="shared" si="61"/>
        <v>1+0,0705573982028222i</v>
      </c>
      <c r="BA49">
        <f t="shared" si="88"/>
        <v>1.00248608291644</v>
      </c>
      <c r="BB49">
        <f t="shared" si="89"/>
        <v>0.0704406603111867</v>
      </c>
      <c r="BC49" s="30" t="str">
        <f t="shared" si="90"/>
        <v>-0,24132634434903+3,49371753065677i</v>
      </c>
      <c r="BD49" s="32">
        <f t="shared" si="91"/>
        <v>10.8864278619768</v>
      </c>
      <c r="BE49" s="31">
        <f t="shared" si="92"/>
        <v>93.9513935765773</v>
      </c>
      <c r="BF49" s="30" t="str">
        <f t="shared" si="93"/>
        <v>35,0974348259391+254,664000021874i</v>
      </c>
      <c r="BG49" s="68">
        <f t="shared" si="94"/>
        <v>48.2010672458984</v>
      </c>
      <c r="BH49" s="31">
        <f t="shared" si="95"/>
        <v>82.1530087933676</v>
      </c>
      <c r="BI49" s="30" t="str">
        <f t="shared" si="96"/>
        <v>54,7142058235079+865,652475369573i</v>
      </c>
      <c r="BJ49" s="68">
        <f t="shared" si="97"/>
        <v>58.7641868562139</v>
      </c>
      <c r="BK49" s="31">
        <f t="shared" si="98"/>
        <v>86.3833887808084</v>
      </c>
      <c r="BL49" s="32">
        <f t="shared" si="99"/>
        <v>48.2010672458984</v>
      </c>
      <c r="BM49" s="31">
        <f t="shared" si="100"/>
        <v>82.1530087933676</v>
      </c>
      <c r="BO49">
        <f t="shared" si="101"/>
        <v>0</v>
      </c>
      <c r="BP49">
        <f t="shared" si="102"/>
        <v>0</v>
      </c>
    </row>
    <row r="50" ht="15.75" spans="1:68">
      <c r="A50" s="87" t="s">
        <v>438</v>
      </c>
      <c r="N50" s="7">
        <v>32</v>
      </c>
      <c r="O50" s="18">
        <f t="shared" si="62"/>
        <v>20.8929613085404</v>
      </c>
      <c r="P50" s="86" t="str">
        <f t="shared" si="50"/>
        <v>75</v>
      </c>
      <c r="Q50" s="4" t="str">
        <f t="shared" si="51"/>
        <v>1+0,214414767611578i</v>
      </c>
      <c r="R50" s="4">
        <f t="shared" si="63"/>
        <v>1.02272855273036</v>
      </c>
      <c r="S50" s="4">
        <f t="shared" si="64"/>
        <v>0.21121671752991</v>
      </c>
      <c r="T50" s="4" t="str">
        <f t="shared" si="52"/>
        <v>1+0,00205838176907116i</v>
      </c>
      <c r="U50" s="4">
        <f t="shared" si="65"/>
        <v>1.00000211846551</v>
      </c>
      <c r="V50" s="4">
        <f t="shared" si="66"/>
        <v>0.00205837886200162</v>
      </c>
      <c r="W50" t="str">
        <f t="shared" si="53"/>
        <v>1-0,00107973150832973i</v>
      </c>
      <c r="X50" s="4">
        <f t="shared" si="67"/>
        <v>1.0000005829099</v>
      </c>
      <c r="Y50" s="4">
        <f t="shared" si="68"/>
        <v>-0.00107973108873911</v>
      </c>
      <c r="Z50" t="str">
        <f t="shared" si="54"/>
        <v>0,999999996436605+0,00033882177001045i</v>
      </c>
      <c r="AA50" s="4">
        <f t="shared" si="69"/>
        <v>1.0000000538367</v>
      </c>
      <c r="AB50" s="4">
        <f t="shared" si="70"/>
        <v>0.000338821758252205</v>
      </c>
      <c r="AC50" s="67" t="str">
        <f t="shared" si="71"/>
        <v>71,7135362812129-15,3284541414417i</v>
      </c>
      <c r="AD50" s="68">
        <f t="shared" si="72"/>
        <v>37.3060406473661</v>
      </c>
      <c r="AE50" s="31">
        <f t="shared" si="73"/>
        <v>-12.0651671467879</v>
      </c>
      <c r="AF50" s="32" t="str">
        <f t="shared" si="74"/>
        <v>249,914648392112</v>
      </c>
      <c r="AG50" s="32" t="str">
        <f t="shared" si="55"/>
        <v>1+0,137838064893158i</v>
      </c>
      <c r="AH50" s="32">
        <f t="shared" si="75"/>
        <v>1.00945496785815</v>
      </c>
      <c r="AI50" s="32">
        <f t="shared" si="76"/>
        <v>0.136974939294367</v>
      </c>
      <c r="AJ50" s="32" t="str">
        <f t="shared" si="56"/>
        <v>1+0,00205838176907116i</v>
      </c>
      <c r="AK50" s="32">
        <f t="shared" si="77"/>
        <v>1.00000211846551</v>
      </c>
      <c r="AL50" s="32">
        <f t="shared" si="78"/>
        <v>0.00205837886200162</v>
      </c>
      <c r="AM50" s="32" t="str">
        <f t="shared" si="57"/>
        <v>1-0,000208302945531984i</v>
      </c>
      <c r="AN50" s="32">
        <f t="shared" si="79"/>
        <v>1.00000002169506</v>
      </c>
      <c r="AO50" s="32">
        <f t="shared" si="80"/>
        <v>-0.000208302942519221</v>
      </c>
      <c r="AP50" s="30" t="str">
        <f t="shared" si="81"/>
        <v>245,317615743172-33,3517436395597i</v>
      </c>
      <c r="AQ50" s="32">
        <f t="shared" si="82"/>
        <v>47.8741138440738</v>
      </c>
      <c r="AR50" s="31">
        <f t="shared" si="83"/>
        <v>-7.74208437866274</v>
      </c>
      <c r="AS50" t="str">
        <f t="shared" si="58"/>
        <v>-0,000100699300699301</v>
      </c>
      <c r="AT50" t="str">
        <f t="shared" si="59"/>
        <v>0,0000294973458871357i</v>
      </c>
      <c r="AU50">
        <f t="shared" si="84"/>
        <v>2.94973458871357e-5</v>
      </c>
      <c r="AV50">
        <f t="shared" si="85"/>
        <v>1.5707963267949</v>
      </c>
      <c r="AW50" t="str">
        <f t="shared" si="60"/>
        <v>1+0,0015102100059288i</v>
      </c>
      <c r="AX50">
        <f t="shared" si="86"/>
        <v>1.00000114036648</v>
      </c>
      <c r="AY50">
        <f t="shared" si="87"/>
        <v>0.00151020885780114</v>
      </c>
      <c r="AZ50" t="str">
        <f t="shared" si="61"/>
        <v>1+0,0722008911345111i</v>
      </c>
      <c r="BA50">
        <f t="shared" si="88"/>
        <v>1.00260309628517</v>
      </c>
      <c r="BB50">
        <f t="shared" si="89"/>
        <v>0.0720758217636342</v>
      </c>
      <c r="BC50" s="30" t="str">
        <f t="shared" si="90"/>
        <v>-0,241326319576951+3,41420721353396i</v>
      </c>
      <c r="BD50" s="32">
        <f t="shared" si="91"/>
        <v>10.6874412017147</v>
      </c>
      <c r="BE50" s="31">
        <f t="shared" si="92"/>
        <v>94.0431117982581</v>
      </c>
      <c r="BF50" s="30" t="str">
        <f t="shared" si="93"/>
        <v>35,0281549274415+248,544032302105i</v>
      </c>
      <c r="BG50" s="68">
        <f t="shared" si="94"/>
        <v>47.9934818490808</v>
      </c>
      <c r="BH50" s="31">
        <f t="shared" si="95"/>
        <v>81.9779446514702</v>
      </c>
      <c r="BI50" s="30" t="str">
        <f t="shared" ref="BI50:BI113" si="103">IMPRODUCT(AP50,BC50)</f>
        <v>54,6681663834277+845,613826821299i</v>
      </c>
      <c r="BJ50" s="68">
        <f t="shared" si="97"/>
        <v>58.5615550457885</v>
      </c>
      <c r="BK50" s="31">
        <f t="shared" ref="BK50:BK113" si="104">(180/PI())*IMARGUMENT(BI50)</f>
        <v>86.3010274195954</v>
      </c>
      <c r="BL50" s="32">
        <f t="shared" si="99"/>
        <v>47.9934818490808</v>
      </c>
      <c r="BM50" s="31">
        <f t="shared" si="100"/>
        <v>81.9779446514702</v>
      </c>
      <c r="BO50">
        <f t="shared" si="101"/>
        <v>0</v>
      </c>
      <c r="BP50">
        <f t="shared" si="102"/>
        <v>0</v>
      </c>
    </row>
    <row r="51" spans="1:68">
      <c r="A51" t="s">
        <v>501</v>
      </c>
      <c r="N51" s="7">
        <v>33</v>
      </c>
      <c r="O51" s="18">
        <f t="shared" si="62"/>
        <v>21.3796208950223</v>
      </c>
      <c r="P51" s="86" t="str">
        <f t="shared" si="50"/>
        <v>75</v>
      </c>
      <c r="Q51" s="4" t="str">
        <f t="shared" si="51"/>
        <v>1+0,219409129138434i</v>
      </c>
      <c r="R51" s="4">
        <f t="shared" si="63"/>
        <v>1.02378726596363</v>
      </c>
      <c r="S51" s="4">
        <f t="shared" si="64"/>
        <v>0.215986642184777</v>
      </c>
      <c r="T51" s="4" t="str">
        <f t="shared" si="52"/>
        <v>1+0,00210632763972897i</v>
      </c>
      <c r="U51" s="4">
        <f t="shared" si="65"/>
        <v>1.0000022183056</v>
      </c>
      <c r="V51" s="4">
        <f t="shared" si="66"/>
        <v>0.0021063245247482</v>
      </c>
      <c r="W51" t="str">
        <f t="shared" si="53"/>
        <v>1-0,00110488168601854i</v>
      </c>
      <c r="X51" s="4">
        <f t="shared" si="67"/>
        <v>1.00000061038158</v>
      </c>
      <c r="Y51" s="4">
        <f t="shared" si="68"/>
        <v>-0.00110488123641911</v>
      </c>
      <c r="Z51" t="str">
        <f t="shared" si="54"/>
        <v>0,999999996268668+0,000346713942883854i</v>
      </c>
      <c r="AA51" s="4">
        <f t="shared" si="69"/>
        <v>1.00000005637395</v>
      </c>
      <c r="AB51" s="4">
        <f t="shared" si="70"/>
        <v>0.000346713930284668</v>
      </c>
      <c r="AC51" s="67" t="str">
        <f t="shared" si="71"/>
        <v>71,5657638368187-15,6530770850845i</v>
      </c>
      <c r="AD51" s="68">
        <f t="shared" si="72"/>
        <v>37.2970548794021</v>
      </c>
      <c r="AE51" s="31">
        <f t="shared" si="73"/>
        <v>-12.3376097994507</v>
      </c>
      <c r="AF51" s="32" t="str">
        <f t="shared" si="74"/>
        <v>249,914648392112</v>
      </c>
      <c r="AG51" s="32" t="str">
        <f t="shared" si="55"/>
        <v>1+0,141048725874708i</v>
      </c>
      <c r="AH51" s="32">
        <f t="shared" si="75"/>
        <v>1.00989838254692</v>
      </c>
      <c r="AI51" s="32">
        <f t="shared" si="76"/>
        <v>0.140124359009584</v>
      </c>
      <c r="AJ51" s="32" t="str">
        <f t="shared" si="56"/>
        <v>1+0,00210632763972897i</v>
      </c>
      <c r="AK51" s="32">
        <f t="shared" si="77"/>
        <v>1.0000022183056</v>
      </c>
      <c r="AL51" s="32">
        <f t="shared" si="78"/>
        <v>0.0021063245247482</v>
      </c>
      <c r="AM51" s="32" t="str">
        <f t="shared" si="57"/>
        <v>1-0,000213154944434318i</v>
      </c>
      <c r="AN51" s="32">
        <f t="shared" si="79"/>
        <v>1.00000002271751</v>
      </c>
      <c r="AO51" s="32">
        <f t="shared" si="80"/>
        <v>-0.000213154941206084</v>
      </c>
      <c r="AP51" s="30" t="str">
        <f t="shared" si="81"/>
        <v>245,105190416384-34,0986432250185i</v>
      </c>
      <c r="AQ51" s="32">
        <f t="shared" si="82"/>
        <v>47.870300181096</v>
      </c>
      <c r="AR51" s="31">
        <f t="shared" si="83"/>
        <v>-7.92006375118562</v>
      </c>
      <c r="AS51" t="str">
        <f t="shared" si="58"/>
        <v>-0,000100699300699301</v>
      </c>
      <c r="AT51" t="str">
        <f t="shared" si="59"/>
        <v>0,0000301844273371874i</v>
      </c>
      <c r="AU51">
        <f t="shared" si="84"/>
        <v>3.01844273371874e-5</v>
      </c>
      <c r="AV51">
        <f t="shared" si="85"/>
        <v>1.5707963267949</v>
      </c>
      <c r="AW51" t="str">
        <f t="shared" si="60"/>
        <v>1+0,00154538731593922i</v>
      </c>
      <c r="AX51">
        <f t="shared" si="86"/>
        <v>1.00000119411027</v>
      </c>
      <c r="AY51">
        <f t="shared" si="87"/>
        <v>0.00154538608569834</v>
      </c>
      <c r="AZ51" t="str">
        <f t="shared" si="61"/>
        <v>1+0,0738826659343706i</v>
      </c>
      <c r="BA51">
        <f t="shared" si="88"/>
        <v>1.0027256096887</v>
      </c>
      <c r="BB51">
        <f t="shared" si="89"/>
        <v>0.0737486713553593</v>
      </c>
      <c r="BC51" s="30" t="str">
        <f t="shared" si="90"/>
        <v>-0,241326293637403+3,33650715426461i</v>
      </c>
      <c r="BD51" s="32">
        <f t="shared" si="91"/>
        <v>10.4885020451012</v>
      </c>
      <c r="BE51" s="31">
        <f t="shared" si="92"/>
        <v>94.1369435129307</v>
      </c>
      <c r="BF51" s="30" t="str">
        <f t="shared" si="93"/>
        <v>34,9559031425707+242,557182118921i</v>
      </c>
      <c r="BG51" s="68">
        <f t="shared" si="94"/>
        <v>47.7855569245033</v>
      </c>
      <c r="BH51" s="31">
        <f t="shared" si="95"/>
        <v>81.79933371348</v>
      </c>
      <c r="BI51" s="30" t="str">
        <f t="shared" si="103"/>
        <v>54,6200399165148+826,024120559213i</v>
      </c>
      <c r="BJ51" s="68">
        <f t="shared" si="97"/>
        <v>58.3588022261971</v>
      </c>
      <c r="BK51" s="31">
        <f t="shared" si="104"/>
        <v>86.216879761745</v>
      </c>
      <c r="BL51" s="32">
        <f t="shared" si="99"/>
        <v>47.7855569245033</v>
      </c>
      <c r="BM51" s="31">
        <f t="shared" si="100"/>
        <v>81.79933371348</v>
      </c>
      <c r="BO51">
        <f t="shared" si="101"/>
        <v>0</v>
      </c>
      <c r="BP51">
        <f t="shared" si="102"/>
        <v>0</v>
      </c>
    </row>
    <row r="52" spans="1:68">
      <c r="A52" t="s">
        <v>291</v>
      </c>
      <c r="B52" s="15">
        <f>RFBT</f>
        <v>15000</v>
      </c>
      <c r="C52" s="16" t="s">
        <v>35</v>
      </c>
      <c r="E52" t="s">
        <v>502</v>
      </c>
      <c r="N52" s="7">
        <v>34</v>
      </c>
      <c r="O52" s="18">
        <f t="shared" si="62"/>
        <v>21.8776162394955</v>
      </c>
      <c r="P52" s="86" t="str">
        <f t="shared" si="50"/>
        <v>75</v>
      </c>
      <c r="Q52" s="4" t="str">
        <f t="shared" si="51"/>
        <v>1+0,224519824289783i</v>
      </c>
      <c r="R52" s="4">
        <f t="shared" si="63"/>
        <v>1.0248947026398</v>
      </c>
      <c r="S52" s="4">
        <f t="shared" si="64"/>
        <v>0.220857357222232</v>
      </c>
      <c r="T52" s="4" t="str">
        <f t="shared" si="52"/>
        <v>1+0,00215539031318192i</v>
      </c>
      <c r="U52" s="4">
        <f t="shared" si="65"/>
        <v>1.000002322851</v>
      </c>
      <c r="V52" s="4">
        <f t="shared" si="66"/>
        <v>0.00215538697542031</v>
      </c>
      <c r="W52" t="str">
        <f t="shared" si="53"/>
        <v>1-0,00113061768660212i</v>
      </c>
      <c r="X52" s="4">
        <f t="shared" si="67"/>
        <v>1.00000063914797</v>
      </c>
      <c r="Y52" s="4">
        <f t="shared" si="68"/>
        <v>-0.00113061720484767</v>
      </c>
      <c r="Z52" t="str">
        <f t="shared" si="54"/>
        <v>0,999999996092816+0,000354789948079078i</v>
      </c>
      <c r="AA52" s="4">
        <f t="shared" si="69"/>
        <v>1.00000005903077</v>
      </c>
      <c r="AB52" s="4">
        <f t="shared" si="70"/>
        <v>0.000354789934578806</v>
      </c>
      <c r="AC52" s="67" t="str">
        <f t="shared" si="71"/>
        <v>71,4116804831818-15,983089324512i</v>
      </c>
      <c r="AD52" s="68">
        <f t="shared" si="72"/>
        <v>37.2876655145726</v>
      </c>
      <c r="AE52" s="31">
        <f t="shared" si="73"/>
        <v>-12.6158074262858</v>
      </c>
      <c r="AF52" s="32" t="str">
        <f t="shared" si="74"/>
        <v>249,914648392112</v>
      </c>
      <c r="AG52" s="32" t="str">
        <f t="shared" si="55"/>
        <v>1+0,144334172757718i</v>
      </c>
      <c r="AH52" s="32">
        <f t="shared" si="75"/>
        <v>1.01036248615319</v>
      </c>
      <c r="AI52" s="32">
        <f t="shared" si="76"/>
        <v>0.143344243640401</v>
      </c>
      <c r="AJ52" s="32" t="str">
        <f t="shared" si="56"/>
        <v>1+0,00215539031318192i</v>
      </c>
      <c r="AK52" s="32">
        <f t="shared" si="77"/>
        <v>1.000002322851</v>
      </c>
      <c r="AL52" s="32">
        <f t="shared" si="78"/>
        <v>0.00215538697542031</v>
      </c>
      <c r="AM52" s="32" t="str">
        <f t="shared" si="57"/>
        <v>1-0,000218119960909631i</v>
      </c>
      <c r="AN52" s="32">
        <f t="shared" si="79"/>
        <v>1.00000002378816</v>
      </c>
      <c r="AO52" s="32">
        <f t="shared" si="80"/>
        <v>-0.000218119957450516</v>
      </c>
      <c r="AP52" s="30" t="str">
        <f t="shared" si="81"/>
        <v>244,883153202783-34,8608551008967i</v>
      </c>
      <c r="AQ52" s="32">
        <f t="shared" si="82"/>
        <v>47.8663103734652</v>
      </c>
      <c r="AR52" s="31">
        <f t="shared" si="83"/>
        <v>-8.10202295417043</v>
      </c>
      <c r="AS52" t="str">
        <f t="shared" si="58"/>
        <v>-0,000100699300699301</v>
      </c>
      <c r="AT52" t="str">
        <f t="shared" si="59"/>
        <v>0,0000308875129701515i</v>
      </c>
      <c r="AU52">
        <f t="shared" si="84"/>
        <v>3.08875129701515e-5</v>
      </c>
      <c r="AV52">
        <f t="shared" si="85"/>
        <v>1.5707963267949</v>
      </c>
      <c r="AW52" t="str">
        <f t="shared" si="60"/>
        <v>1+0,00158138401076017i</v>
      </c>
      <c r="AX52">
        <f t="shared" si="86"/>
        <v>1.00000125038691</v>
      </c>
      <c r="AY52">
        <f t="shared" si="87"/>
        <v>0.00158138269253341</v>
      </c>
      <c r="AZ52" t="str">
        <f t="shared" si="61"/>
        <v>1+0,0756036143016615i</v>
      </c>
      <c r="BA52">
        <f t="shared" si="88"/>
        <v>1.00285388092956</v>
      </c>
      <c r="BB52">
        <f t="shared" si="89"/>
        <v>0.0754600585816053</v>
      </c>
      <c r="BC52" s="30" t="str">
        <f t="shared" si="90"/>
        <v>-0,241326266475369+3,26057615524856i</v>
      </c>
      <c r="BD52" s="32">
        <f t="shared" si="91"/>
        <v>10.289612606585</v>
      </c>
      <c r="BE52" s="31">
        <f t="shared" si="92"/>
        <v>94.2329363244587</v>
      </c>
      <c r="BF52" s="30" t="str">
        <f t="shared" si="93"/>
        <v>34,8805657049734+236,700361863118i</v>
      </c>
      <c r="BG52" s="68">
        <f t="shared" si="94"/>
        <v>47.5772781211576</v>
      </c>
      <c r="BH52" s="31">
        <f t="shared" si="95"/>
        <v>81.617128898173</v>
      </c>
      <c r="BI52" s="30" t="str">
        <f t="shared" si="103"/>
        <v>54,5697358084155+806,873010162713i</v>
      </c>
      <c r="BJ52" s="68">
        <f t="shared" si="97"/>
        <v>58.1559229800502</v>
      </c>
      <c r="BK52" s="31">
        <f t="shared" si="104"/>
        <v>86.1309133702883</v>
      </c>
      <c r="BL52" s="32">
        <f t="shared" si="99"/>
        <v>47.5772781211576</v>
      </c>
      <c r="BM52" s="31">
        <f t="shared" si="100"/>
        <v>81.617128898173</v>
      </c>
      <c r="BO52">
        <f t="shared" si="101"/>
        <v>0</v>
      </c>
      <c r="BP52">
        <f t="shared" si="102"/>
        <v>0</v>
      </c>
    </row>
    <row r="53" spans="1:68">
      <c r="A53" t="s">
        <v>295</v>
      </c>
      <c r="B53" s="15">
        <f>RFBB</f>
        <v>2160</v>
      </c>
      <c r="C53" s="16" t="s">
        <v>35</v>
      </c>
      <c r="E53" t="s">
        <v>503</v>
      </c>
      <c r="N53" s="7">
        <v>35</v>
      </c>
      <c r="O53" s="18">
        <f t="shared" si="62"/>
        <v>22.3872113856834</v>
      </c>
      <c r="P53" s="86" t="str">
        <f t="shared" si="50"/>
        <v>75</v>
      </c>
      <c r="Q53" s="4" t="str">
        <f t="shared" si="51"/>
        <v>1+0,22974956282384i</v>
      </c>
      <c r="R53" s="4">
        <f t="shared" si="63"/>
        <v>1.02605305009914</v>
      </c>
      <c r="S53" s="4">
        <f t="shared" si="64"/>
        <v>0.225830520321032</v>
      </c>
      <c r="T53" s="4" t="str">
        <f t="shared" si="52"/>
        <v>1+0,00220559580310887i</v>
      </c>
      <c r="U53" s="4">
        <f t="shared" si="65"/>
        <v>1.00000243232347</v>
      </c>
      <c r="V53" s="4">
        <f t="shared" si="66"/>
        <v>0.00220559222663334</v>
      </c>
      <c r="W53" t="str">
        <f t="shared" si="53"/>
        <v>1-0,00115695315564862i</v>
      </c>
      <c r="X53" s="4">
        <f t="shared" si="67"/>
        <v>1.00000066927008</v>
      </c>
      <c r="Y53" s="4">
        <f t="shared" si="68"/>
        <v>-0.00115695263943944</v>
      </c>
      <c r="Z53" t="str">
        <f t="shared" si="54"/>
        <v>0,999999995908676+0,000363054067600971i</v>
      </c>
      <c r="AA53" s="4">
        <f t="shared" si="69"/>
        <v>1.0000000618128</v>
      </c>
      <c r="AB53" s="4">
        <f t="shared" si="70"/>
        <v>0.000363054053135169</v>
      </c>
      <c r="AC53" s="67" t="str">
        <f t="shared" si="71"/>
        <v>71,2510471992844-16,3184778774477i</v>
      </c>
      <c r="AD53" s="68">
        <f t="shared" si="72"/>
        <v>37.2778553566658</v>
      </c>
      <c r="AE53" s="31">
        <f t="shared" si="73"/>
        <v>-12.8998545420417</v>
      </c>
      <c r="AF53" s="32" t="str">
        <f t="shared" si="74"/>
        <v>249,914648392112</v>
      </c>
      <c r="AG53" s="32" t="str">
        <f t="shared" si="55"/>
        <v>1+0,147696147529611i</v>
      </c>
      <c r="AH53" s="32">
        <f t="shared" si="75"/>
        <v>1.01084823390808</v>
      </c>
      <c r="AI53" s="32">
        <f t="shared" si="76"/>
        <v>0.146636033211418</v>
      </c>
      <c r="AJ53" s="32" t="str">
        <f t="shared" si="56"/>
        <v>1+0,00220559580310887i</v>
      </c>
      <c r="AK53" s="32">
        <f t="shared" si="77"/>
        <v>1.00000243232347</v>
      </c>
      <c r="AL53" s="32">
        <f t="shared" si="78"/>
        <v>0.00220559222663334</v>
      </c>
      <c r="AM53" s="32" t="str">
        <f t="shared" si="57"/>
        <v>1-0,000223200627475377i</v>
      </c>
      <c r="AN53" s="32">
        <f t="shared" si="79"/>
        <v>1.00000002490926</v>
      </c>
      <c r="AO53" s="32">
        <f t="shared" si="80"/>
        <v>-0.000223200623768869</v>
      </c>
      <c r="AP53" s="30" t="str">
        <f t="shared" si="81"/>
        <v>244,651088436079-35,6385936576424i</v>
      </c>
      <c r="AQ53" s="32">
        <f t="shared" si="82"/>
        <v>47.8621364586511</v>
      </c>
      <c r="AR53" s="31">
        <f t="shared" si="83"/>
        <v>-8.28804315536814</v>
      </c>
      <c r="AS53" t="str">
        <f t="shared" si="58"/>
        <v>-0,000100699300699301</v>
      </c>
      <c r="AT53" t="str">
        <f t="shared" si="59"/>
        <v>0,000031606975571337i</v>
      </c>
      <c r="AU53">
        <f t="shared" si="84"/>
        <v>3.1606975571337e-5</v>
      </c>
      <c r="AV53">
        <f t="shared" si="85"/>
        <v>1.5707963267949</v>
      </c>
      <c r="AW53" t="str">
        <f t="shared" si="60"/>
        <v>1+0,0016182191763157i</v>
      </c>
      <c r="AX53">
        <f t="shared" si="86"/>
        <v>1.00000130931579</v>
      </c>
      <c r="AY53">
        <f t="shared" si="87"/>
        <v>0.00161821776381038</v>
      </c>
      <c r="AZ53" t="str">
        <f t="shared" si="61"/>
        <v>1+0,0773646487059869i</v>
      </c>
      <c r="BA53">
        <f t="shared" si="88"/>
        <v>1.00298817982537</v>
      </c>
      <c r="BB53">
        <f t="shared" si="89"/>
        <v>0.0772108507209621</v>
      </c>
      <c r="BC53" s="30" t="str">
        <f t="shared" si="90"/>
        <v>-0,241326238033231+3,1863739568648i</v>
      </c>
      <c r="BD53" s="32">
        <f t="shared" si="91"/>
        <v>10.0907752026516</v>
      </c>
      <c r="BE53" s="31">
        <f t="shared" si="92"/>
        <v>94.3311388307263</v>
      </c>
      <c r="BF53" s="30" t="str">
        <f t="shared" si="93"/>
        <v>34,8020257478423+230,970558071737i</v>
      </c>
      <c r="BG53" s="68">
        <f t="shared" si="94"/>
        <v>47.3686305593174</v>
      </c>
      <c r="BH53" s="31">
        <f t="shared" si="95"/>
        <v>81.4312842886846</v>
      </c>
      <c r="BI53" s="30" t="str">
        <f t="shared" si="103"/>
        <v>54,5171598869845+788,150384447543i</v>
      </c>
      <c r="BJ53" s="68">
        <f t="shared" si="97"/>
        <v>57.9529116613027</v>
      </c>
      <c r="BK53" s="31">
        <f t="shared" si="104"/>
        <v>86.0430956753582</v>
      </c>
      <c r="BL53" s="32">
        <f t="shared" si="99"/>
        <v>47.3686305593174</v>
      </c>
      <c r="BM53" s="31">
        <f t="shared" si="100"/>
        <v>81.4312842886846</v>
      </c>
      <c r="BO53">
        <f t="shared" si="101"/>
        <v>0</v>
      </c>
      <c r="BP53">
        <f t="shared" si="102"/>
        <v>0</v>
      </c>
    </row>
    <row r="54" spans="1:68">
      <c r="A54" t="s">
        <v>361</v>
      </c>
      <c r="B54" s="15">
        <f>RCOMP</f>
        <v>2500</v>
      </c>
      <c r="C54" s="16" t="s">
        <v>35</v>
      </c>
      <c r="E54" t="s">
        <v>362</v>
      </c>
      <c r="N54" s="7">
        <v>36</v>
      </c>
      <c r="O54" s="18">
        <f t="shared" si="62"/>
        <v>22.9086765276777</v>
      </c>
      <c r="P54" s="86" t="str">
        <f t="shared" si="50"/>
        <v>75</v>
      </c>
      <c r="Q54" s="4" t="str">
        <f t="shared" si="51"/>
        <v>1+0,235101117617202i</v>
      </c>
      <c r="R54" s="4">
        <f t="shared" si="63"/>
        <v>1.02726458884985</v>
      </c>
      <c r="S54" s="4">
        <f t="shared" si="64"/>
        <v>0.230907783890429</v>
      </c>
      <c r="T54" s="4" t="str">
        <f t="shared" si="52"/>
        <v>1+0,00225697072912514i</v>
      </c>
      <c r="U54" s="4">
        <f t="shared" si="65"/>
        <v>1.00000254695519</v>
      </c>
      <c r="V54" s="4">
        <f t="shared" si="66"/>
        <v>0.00225696689686309</v>
      </c>
      <c r="W54" t="str">
        <f t="shared" si="53"/>
        <v>1-0,00118390205657234i</v>
      </c>
      <c r="X54" s="4">
        <f t="shared" si="67"/>
        <v>1.00000070081179</v>
      </c>
      <c r="Y54" s="4">
        <f t="shared" si="68"/>
        <v>-0.00118390150344426</v>
      </c>
      <c r="Z54" t="str">
        <f t="shared" si="54"/>
        <v>0,999999995715858+0,000371510683195096i</v>
      </c>
      <c r="AA54" s="4">
        <f t="shared" si="69"/>
        <v>1.00000006472595</v>
      </c>
      <c r="AB54" s="4">
        <f t="shared" si="70"/>
        <v>0.00037151066769471</v>
      </c>
      <c r="AC54" s="67" t="str">
        <f t="shared" si="71"/>
        <v>71,0836186942022-16,6592214316879i</v>
      </c>
      <c r="AD54" s="68">
        <f t="shared" si="72"/>
        <v>37.2676065618476</v>
      </c>
      <c r="AE54" s="31">
        <f t="shared" si="73"/>
        <v>-13.189845348759</v>
      </c>
      <c r="AF54" s="32" t="str">
        <f t="shared" si="74"/>
        <v>249,914648392112</v>
      </c>
      <c r="AG54" s="32" t="str">
        <f t="shared" si="55"/>
        <v>1+0,151136432753916i</v>
      </c>
      <c r="AH54" s="32">
        <f t="shared" si="75"/>
        <v>1.01135662419622</v>
      </c>
      <c r="AI54" s="32">
        <f t="shared" si="76"/>
        <v>0.150001187569122</v>
      </c>
      <c r="AJ54" s="32" t="str">
        <f t="shared" si="56"/>
        <v>1+0,00225697072912514i</v>
      </c>
      <c r="AK54" s="32">
        <f t="shared" si="77"/>
        <v>1.00000254695519</v>
      </c>
      <c r="AL54" s="32">
        <f t="shared" si="78"/>
        <v>0.00225696689686309</v>
      </c>
      <c r="AM54" s="32" t="str">
        <f t="shared" si="57"/>
        <v>1-0,00022839963796822i</v>
      </c>
      <c r="AN54" s="32">
        <f t="shared" si="79"/>
        <v>1.0000000260832</v>
      </c>
      <c r="AO54" s="32">
        <f t="shared" si="80"/>
        <v>-0.000228399633996625</v>
      </c>
      <c r="AP54" s="30" t="str">
        <f t="shared" si="81"/>
        <v>244,408564288034-36,4320689100146i</v>
      </c>
      <c r="AQ54" s="32">
        <f t="shared" si="82"/>
        <v>47.857770130511</v>
      </c>
      <c r="AR54" s="31">
        <f t="shared" si="83"/>
        <v>-8.47820662704025</v>
      </c>
      <c r="AS54" t="str">
        <f t="shared" si="58"/>
        <v>-0,000100699300699301</v>
      </c>
      <c r="AT54" t="str">
        <f t="shared" si="59"/>
        <v>0,000032343196609338i</v>
      </c>
      <c r="AU54">
        <f t="shared" si="84"/>
        <v>3.2343196609338e-5</v>
      </c>
      <c r="AV54">
        <f t="shared" si="85"/>
        <v>1.5707963267949</v>
      </c>
      <c r="AW54" t="str">
        <f t="shared" si="60"/>
        <v>1+0,00165591234309819i</v>
      </c>
      <c r="AX54">
        <f t="shared" si="86"/>
        <v>1.0000013710219</v>
      </c>
      <c r="AY54">
        <f t="shared" si="87"/>
        <v>0.00165591082957158</v>
      </c>
      <c r="AZ54" t="str">
        <f t="shared" si="61"/>
        <v>1+0,0791667028710986i</v>
      </c>
      <c r="BA54">
        <f t="shared" si="88"/>
        <v>1.00312878876218</v>
      </c>
      <c r="BB54">
        <f t="shared" si="89"/>
        <v>0.0790019331093419</v>
      </c>
      <c r="BC54" s="30" t="str">
        <f t="shared" si="90"/>
        <v>-0,241326208250667+3,11386121612529i</v>
      </c>
      <c r="BD54" s="32">
        <f t="shared" si="91"/>
        <v>9.89199225641014</v>
      </c>
      <c r="BE54" s="31">
        <f t="shared" si="92"/>
        <v>94.4316006387557</v>
      </c>
      <c r="BF54" s="30" t="str">
        <f t="shared" si="93"/>
        <v>34,7201633387681+225,364830094232i</v>
      </c>
      <c r="BG54" s="68">
        <f t="shared" si="94"/>
        <v>47.1595988182577</v>
      </c>
      <c r="BH54" s="31">
        <f t="shared" si="95"/>
        <v>81.2417552899966</v>
      </c>
      <c r="BI54" s="30" t="str">
        <f t="shared" si="103"/>
        <v>54,4622143184778+769,846362274155i</v>
      </c>
      <c r="BJ54" s="68">
        <f t="shared" si="97"/>
        <v>57.7497623869211</v>
      </c>
      <c r="BK54" s="31">
        <f t="shared" si="104"/>
        <v>85.9533940117154</v>
      </c>
      <c r="BL54" s="32">
        <f t="shared" si="99"/>
        <v>47.1595988182577</v>
      </c>
      <c r="BM54" s="31">
        <f t="shared" si="100"/>
        <v>81.2417552899966</v>
      </c>
      <c r="BO54">
        <f t="shared" si="101"/>
        <v>0</v>
      </c>
      <c r="BP54">
        <f t="shared" si="102"/>
        <v>0</v>
      </c>
    </row>
    <row r="55" spans="1:68">
      <c r="A55" t="s">
        <v>364</v>
      </c>
      <c r="B55" s="15">
        <f>CCOMP</f>
        <v>2.2e-7</v>
      </c>
      <c r="C55" s="16" t="s">
        <v>258</v>
      </c>
      <c r="E55" t="s">
        <v>365</v>
      </c>
      <c r="N55" s="7">
        <v>37</v>
      </c>
      <c r="O55" s="18">
        <f t="shared" si="62"/>
        <v>23.4422881531992</v>
      </c>
      <c r="P55" s="86" t="str">
        <f t="shared" si="50"/>
        <v>75</v>
      </c>
      <c r="Q55" s="4" t="str">
        <f t="shared" si="51"/>
        <v>1+0,240577326135057i</v>
      </c>
      <c r="R55" s="4">
        <f t="shared" si="63"/>
        <v>1.02853169608442</v>
      </c>
      <c r="S55" s="4">
        <f t="shared" si="64"/>
        <v>0.236090792418103</v>
      </c>
      <c r="T55" s="4" t="str">
        <f t="shared" si="52"/>
        <v>1+0,00230954233089654i</v>
      </c>
      <c r="U55" s="4">
        <f t="shared" si="65"/>
        <v>1.00000266698933</v>
      </c>
      <c r="V55" s="4">
        <f t="shared" si="66"/>
        <v>0.00230953822455437</v>
      </c>
      <c r="W55" t="str">
        <f t="shared" si="53"/>
        <v>1-0,00121147867803725i</v>
      </c>
      <c r="X55" s="4">
        <f t="shared" si="67"/>
        <v>1.00000073384002</v>
      </c>
      <c r="Y55" s="4">
        <f t="shared" si="68"/>
        <v>-0.00121147808534986</v>
      </c>
      <c r="Z55" t="str">
        <f t="shared" si="54"/>
        <v>0,999999995513952+0,000380164278670978i</v>
      </c>
      <c r="AA55" s="4">
        <f t="shared" si="69"/>
        <v>1.00000006777639</v>
      </c>
      <c r="AB55" s="4">
        <f t="shared" si="70"/>
        <v>0.000380164262062016</v>
      </c>
      <c r="AC55" s="67" t="str">
        <f t="shared" si="71"/>
        <v>70,9091435075628-17,0052897779567i</v>
      </c>
      <c r="AD55" s="68">
        <f t="shared" si="72"/>
        <v>37.2569006220243</v>
      </c>
      <c r="AE55" s="31">
        <f t="shared" si="73"/>
        <v>-13.4858735835664</v>
      </c>
      <c r="AF55" s="32" t="str">
        <f t="shared" si="74"/>
        <v>249,914648392112</v>
      </c>
      <c r="AG55" s="32" t="str">
        <f t="shared" si="55"/>
        <v>1+0,154656852515393i</v>
      </c>
      <c r="AH55" s="32">
        <f t="shared" si="75"/>
        <v>1.01188870041619</v>
      </c>
      <c r="AI55" s="32">
        <f t="shared" si="76"/>
        <v>0.153441185941858</v>
      </c>
      <c r="AJ55" s="32" t="str">
        <f t="shared" si="56"/>
        <v>1+0,00230954233089654i</v>
      </c>
      <c r="AK55" s="32">
        <f t="shared" si="77"/>
        <v>1.00000266698933</v>
      </c>
      <c r="AL55" s="32">
        <f t="shared" si="78"/>
        <v>0.00230953822455437</v>
      </c>
      <c r="AM55" s="32" t="str">
        <f t="shared" si="57"/>
        <v>1-0,000233719748972341i</v>
      </c>
      <c r="AN55" s="32">
        <f t="shared" si="79"/>
        <v>1.00000002731246</v>
      </c>
      <c r="AO55" s="32">
        <f t="shared" si="80"/>
        <v>-0.0002337197447167</v>
      </c>
      <c r="AP55" s="30" t="str">
        <f t="shared" si="81"/>
        <v>244,1551323128-37,241485818291i</v>
      </c>
      <c r="AQ55" s="32">
        <f t="shared" si="82"/>
        <v>47.8532027259987</v>
      </c>
      <c r="AR55" s="31">
        <f t="shared" si="83"/>
        <v>-8.67259672002063</v>
      </c>
      <c r="AS55" t="str">
        <f t="shared" si="58"/>
        <v>-0,000100699300699301</v>
      </c>
      <c r="AT55" t="str">
        <f t="shared" si="59"/>
        <v>0,0000330965664382943i</v>
      </c>
      <c r="AU55">
        <f t="shared" si="84"/>
        <v>3.30965664382943e-5</v>
      </c>
      <c r="AV55">
        <f t="shared" si="85"/>
        <v>1.5707963267949</v>
      </c>
      <c r="AW55" t="str">
        <f t="shared" si="60"/>
        <v>1+0,00169448349652359i</v>
      </c>
      <c r="AX55">
        <f t="shared" si="86"/>
        <v>1.00000143563613</v>
      </c>
      <c r="AY55">
        <f t="shared" si="87"/>
        <v>0.00169448187475073</v>
      </c>
      <c r="AZ55" t="str">
        <f t="shared" si="61"/>
        <v>1+0,081010732269968i</v>
      </c>
      <c r="BA55">
        <f t="shared" si="88"/>
        <v>1.00327600327274</v>
      </c>
      <c r="BB55">
        <f t="shared" si="89"/>
        <v>0.0808342094106687</v>
      </c>
      <c r="BC55" s="30" t="str">
        <f t="shared" si="90"/>
        <v>-0,241326177064501+3,04299948581473i</v>
      </c>
      <c r="BD55" s="32">
        <f t="shared" si="91"/>
        <v>9.69326630237596</v>
      </c>
      <c r="BE55" s="31">
        <f t="shared" si="92"/>
        <v>94.5343723796234</v>
      </c>
      <c r="BF55" s="30" t="str">
        <f t="shared" si="93"/>
        <v>34,6348555288545+219,880308805065i</v>
      </c>
      <c r="BG55" s="68">
        <f t="shared" si="94"/>
        <v>46.9501669244002</v>
      </c>
      <c r="BH55" s="31">
        <f t="shared" si="95"/>
        <v>81.0484987960569</v>
      </c>
      <c r="BI55" s="30" t="str">
        <f t="shared" si="103"/>
        <v>54,4047975043106+751,951287487608i</v>
      </c>
      <c r="BJ55" s="68">
        <f t="shared" si="97"/>
        <v>57.5464690283747</v>
      </c>
      <c r="BK55" s="31">
        <f t="shared" si="104"/>
        <v>85.8617756596028</v>
      </c>
      <c r="BL55" s="32">
        <f t="shared" si="99"/>
        <v>46.9501669244002</v>
      </c>
      <c r="BM55" s="31">
        <f t="shared" si="100"/>
        <v>81.0484987960569</v>
      </c>
      <c r="BO55">
        <f t="shared" si="101"/>
        <v>0</v>
      </c>
      <c r="BP55">
        <f t="shared" si="102"/>
        <v>0</v>
      </c>
    </row>
    <row r="56" spans="1:68">
      <c r="A56" t="s">
        <v>367</v>
      </c>
      <c r="B56" s="15">
        <f>CHF</f>
        <v>4.7e-9</v>
      </c>
      <c r="C56" s="16" t="s">
        <v>258</v>
      </c>
      <c r="E56" t="s">
        <v>368</v>
      </c>
      <c r="N56" s="7">
        <v>38</v>
      </c>
      <c r="O56" s="18">
        <f t="shared" si="62"/>
        <v>23.9883291901949</v>
      </c>
      <c r="P56" s="86" t="str">
        <f t="shared" si="50"/>
        <v>75</v>
      </c>
      <c r="Q56" s="4" t="str">
        <f t="shared" si="51"/>
        <v>1+0,246181091935646i</v>
      </c>
      <c r="R56" s="4">
        <f t="shared" si="63"/>
        <v>1.02985684928859</v>
      </c>
      <c r="S56" s="4">
        <f t="shared" si="64"/>
        <v>0.241381179640381</v>
      </c>
      <c r="T56" s="4" t="str">
        <f t="shared" si="52"/>
        <v>1+0,0023633384825822i</v>
      </c>
      <c r="U56" s="4">
        <f t="shared" si="65"/>
        <v>1.00000279268049</v>
      </c>
      <c r="V56" s="4">
        <f t="shared" si="66"/>
        <v>0.00236333408255795</v>
      </c>
      <c r="W56" t="str">
        <f t="shared" si="53"/>
        <v>1-0,00123969764153307i</v>
      </c>
      <c r="X56" s="4">
        <f t="shared" si="67"/>
        <v>1.00000076842483</v>
      </c>
      <c r="Y56" s="4">
        <f t="shared" si="68"/>
        <v>-0.00123969700645712</v>
      </c>
      <c r="Z56" t="str">
        <f t="shared" si="54"/>
        <v>0,999999995302531+0,000389019442279481i</v>
      </c>
      <c r="AA56" s="4">
        <f t="shared" si="69"/>
        <v>1.00000007097059</v>
      </c>
      <c r="AB56" s="4">
        <f t="shared" si="70"/>
        <v>0.000389019424482657</v>
      </c>
      <c r="AC56" s="67" t="str">
        <f t="shared" si="71"/>
        <v>70,7273641418454-17,3566432229601i</v>
      </c>
      <c r="AD56" s="68">
        <f t="shared" si="72"/>
        <v>37.2457183485153</v>
      </c>
      <c r="AE56" s="31">
        <f t="shared" si="73"/>
        <v>-13.7880323562895</v>
      </c>
      <c r="AF56" s="32" t="str">
        <f t="shared" si="74"/>
        <v>249,914648392112</v>
      </c>
      <c r="AG56" s="32" t="str">
        <f t="shared" si="55"/>
        <v>1+0,158259273387201i</v>
      </c>
      <c r="AH56" s="32">
        <f t="shared" si="75"/>
        <v>1.01244555291287</v>
      </c>
      <c r="AI56" s="32">
        <f t="shared" si="76"/>
        <v>0.156957526434284</v>
      </c>
      <c r="AJ56" s="32" t="str">
        <f t="shared" si="56"/>
        <v>1+0,0023633384825822i</v>
      </c>
      <c r="AK56" s="32">
        <f t="shared" si="77"/>
        <v>1.00000279268049</v>
      </c>
      <c r="AL56" s="32">
        <f t="shared" si="78"/>
        <v>0.00236333408255795</v>
      </c>
      <c r="AM56" s="32" t="str">
        <f t="shared" si="57"/>
        <v>1-0,000239163781281015i</v>
      </c>
      <c r="AN56" s="32">
        <f t="shared" si="79"/>
        <v>1.00000002859966</v>
      </c>
      <c r="AO56" s="32">
        <f t="shared" si="80"/>
        <v>-0.000239163776721014</v>
      </c>
      <c r="AP56" s="30" t="str">
        <f t="shared" si="81"/>
        <v>243,890326995843-38,0670435629298i</v>
      </c>
      <c r="AQ56" s="32">
        <f t="shared" si="82"/>
        <v>47.8484252115062</v>
      </c>
      <c r="AR56" s="31">
        <f t="shared" si="83"/>
        <v>-8.87129783400605</v>
      </c>
      <c r="AS56" t="str">
        <f t="shared" si="58"/>
        <v>-0,000100699300699301</v>
      </c>
      <c r="AT56" t="str">
        <f t="shared" si="59"/>
        <v>0,000033867484504861i</v>
      </c>
      <c r="AU56">
        <f t="shared" si="84"/>
        <v>3.3867484504861e-5</v>
      </c>
      <c r="AV56">
        <f t="shared" si="85"/>
        <v>1.5707963267949</v>
      </c>
      <c r="AW56" t="str">
        <f t="shared" si="60"/>
        <v>1+0,00173395308752798i</v>
      </c>
      <c r="AX56">
        <f t="shared" si="86"/>
        <v>1.00000150329552</v>
      </c>
      <c r="AY56">
        <f t="shared" si="87"/>
        <v>0.0017339513497672</v>
      </c>
      <c r="AZ56" t="str">
        <f t="shared" si="61"/>
        <v>1+0,0828977146313909i</v>
      </c>
      <c r="BA56">
        <f t="shared" si="88"/>
        <v>1.00343013264059</v>
      </c>
      <c r="BB56">
        <f t="shared" si="89"/>
        <v>0.0827086018835673</v>
      </c>
      <c r="BC56" s="30" t="str">
        <f t="shared" si="90"/>
        <v>-0,241326144408585+2,97375119410543i</v>
      </c>
      <c r="BD56" s="32">
        <f t="shared" si="91"/>
        <v>9.4945999914559</v>
      </c>
      <c r="BE56" s="31">
        <f t="shared" si="92"/>
        <v>94.6395057231335</v>
      </c>
      <c r="BF56" s="30" t="str">
        <f t="shared" si="93"/>
        <v>34,545976417406+214,514195361615i</v>
      </c>
      <c r="BG56" s="68">
        <f t="shared" si="94"/>
        <v>46.7403183399712</v>
      </c>
      <c r="BH56" s="31">
        <f t="shared" si="95"/>
        <v>80.851473366844</v>
      </c>
      <c r="BI56" s="30" t="str">
        <f t="shared" si="103"/>
        <v>54,3448039788701+734,455723986727i</v>
      </c>
      <c r="BJ56" s="68">
        <f t="shared" si="97"/>
        <v>57.3430252029621</v>
      </c>
      <c r="BK56" s="31">
        <f t="shared" si="104"/>
        <v>85.7682078891275</v>
      </c>
      <c r="BL56" s="32">
        <f t="shared" si="99"/>
        <v>46.7403183399712</v>
      </c>
      <c r="BM56" s="31">
        <f t="shared" si="100"/>
        <v>80.851473366844</v>
      </c>
      <c r="BO56">
        <f t="shared" si="101"/>
        <v>0</v>
      </c>
      <c r="BP56">
        <f t="shared" si="102"/>
        <v>0</v>
      </c>
    </row>
    <row r="57" spans="1:68">
      <c r="N57" s="7">
        <v>39</v>
      </c>
      <c r="O57" s="18">
        <f t="shared" si="62"/>
        <v>24.5470891568503</v>
      </c>
      <c r="P57" s="86" t="str">
        <f t="shared" si="50"/>
        <v>75</v>
      </c>
      <c r="Q57" s="4" t="str">
        <f t="shared" si="51"/>
        <v>1+0,25191538620977i</v>
      </c>
      <c r="R57" s="4">
        <f t="shared" si="63"/>
        <v>1.03124262994177</v>
      </c>
      <c r="S57" s="4">
        <f t="shared" si="64"/>
        <v>0.24678056552877</v>
      </c>
      <c r="T57" s="4" t="str">
        <f t="shared" si="52"/>
        <v>1+0,00241838770761379i</v>
      </c>
      <c r="U57" s="4">
        <f t="shared" si="65"/>
        <v>1.00000292429528</v>
      </c>
      <c r="V57" s="4">
        <f t="shared" si="66"/>
        <v>0.00241838299290361</v>
      </c>
      <c r="W57" t="str">
        <f t="shared" si="53"/>
        <v>1-0,00126857390912777i</v>
      </c>
      <c r="X57" s="4">
        <f t="shared" si="67"/>
        <v>1.00000080463956</v>
      </c>
      <c r="Y57" s="4">
        <f t="shared" si="68"/>
        <v>-0.00126857322863165</v>
      </c>
      <c r="Z57" t="str">
        <f t="shared" si="54"/>
        <v>0,999999995081146+0,000398080869145559i</v>
      </c>
      <c r="AA57" s="4">
        <f t="shared" si="69"/>
        <v>1.00000007431533</v>
      </c>
      <c r="AB57" s="4">
        <f t="shared" si="70"/>
        <v>0.000398080850075919</v>
      </c>
      <c r="AC57" s="67" t="str">
        <f t="shared" si="71"/>
        <v>70,5380172292857-17,7132319834859i</v>
      </c>
      <c r="AD57" s="68">
        <f t="shared" si="72"/>
        <v>37.2340398561263</v>
      </c>
      <c r="AE57" s="31">
        <f t="shared" si="73"/>
        <v>-14.0964139765288</v>
      </c>
      <c r="AF57" s="32" t="str">
        <f t="shared" si="74"/>
        <v>249,914648392112</v>
      </c>
      <c r="AG57" s="32" t="str">
        <f t="shared" si="55"/>
        <v>1+0,161945605420566i</v>
      </c>
      <c r="AH57" s="32">
        <f t="shared" si="75"/>
        <v>1.01302832098369</v>
      </c>
      <c r="AI57" s="32">
        <f t="shared" si="76"/>
        <v>0.160551725451795</v>
      </c>
      <c r="AJ57" s="32" t="str">
        <f t="shared" si="56"/>
        <v>1+0,00241838770761379i</v>
      </c>
      <c r="AK57" s="32">
        <f t="shared" si="77"/>
        <v>1.00000292429528</v>
      </c>
      <c r="AL57" s="32">
        <f t="shared" si="78"/>
        <v>0.00241838299290361</v>
      </c>
      <c r="AM57" s="32" t="str">
        <f t="shared" si="57"/>
        <v>1-0,000244734621392229i</v>
      </c>
      <c r="AN57" s="32">
        <f t="shared" si="79"/>
        <v>1.00000002994752</v>
      </c>
      <c r="AO57" s="32">
        <f t="shared" si="80"/>
        <v>-0.0002447346165061</v>
      </c>
      <c r="AP57" s="30" t="str">
        <f t="shared" si="81"/>
        <v>243,613665309712-38,908934770535i</v>
      </c>
      <c r="AQ57" s="32">
        <f t="shared" si="82"/>
        <v>47.8434281688416</v>
      </c>
      <c r="AR57" s="31">
        <f t="shared" si="83"/>
        <v>-9.07439538381796</v>
      </c>
      <c r="AS57" t="str">
        <f t="shared" si="58"/>
        <v>-0,000100699300699301</v>
      </c>
      <c r="AT57" t="str">
        <f t="shared" si="59"/>
        <v>0,0000346563595600013i</v>
      </c>
      <c r="AU57">
        <f t="shared" si="84"/>
        <v>3.46563595600013e-5</v>
      </c>
      <c r="AV57">
        <f t="shared" si="85"/>
        <v>1.5707963267949</v>
      </c>
      <c r="AW57" t="str">
        <f t="shared" si="60"/>
        <v>1+0,00177434204341096i</v>
      </c>
      <c r="AX57">
        <f t="shared" si="86"/>
        <v>1.0000015741436</v>
      </c>
      <c r="AY57">
        <f t="shared" si="87"/>
        <v>0.00177434018136689</v>
      </c>
      <c r="AZ57" t="str">
        <f t="shared" si="61"/>
        <v>1+0,0848286504583919i</v>
      </c>
      <c r="BA57">
        <f t="shared" si="88"/>
        <v>1.00359150053126</v>
      </c>
      <c r="BB57">
        <f t="shared" si="89"/>
        <v>0.0846260516432649</v>
      </c>
      <c r="BC57" s="30" t="str">
        <f t="shared" si="90"/>
        <v>-0,241326110213652+2,90607962463616i</v>
      </c>
      <c r="BD57" s="32">
        <f t="shared" si="91"/>
        <v>9.29599609614283</v>
      </c>
      <c r="BE57" s="31">
        <f t="shared" si="92"/>
        <v>94.7470533922024</v>
      </c>
      <c r="BF57" s="30" t="str">
        <f t="shared" si="93"/>
        <v>34,4533972335348+209,263760006148i</v>
      </c>
      <c r="BG57" s="68">
        <f t="shared" si="94"/>
        <v>46.5300359522691</v>
      </c>
      <c r="BH57" s="31">
        <f t="shared" si="95"/>
        <v>80.6506394156736</v>
      </c>
      <c r="BI57" s="30" t="str">
        <f t="shared" si="103"/>
        <v>54,2821243088659+717,350450920217i</v>
      </c>
      <c r="BJ57" s="68">
        <f t="shared" si="97"/>
        <v>57.1394242649844</v>
      </c>
      <c r="BK57" s="31">
        <f t="shared" si="104"/>
        <v>85.6726580083845</v>
      </c>
      <c r="BL57" s="32">
        <f t="shared" si="99"/>
        <v>46.5300359522691</v>
      </c>
      <c r="BM57" s="31">
        <f t="shared" si="100"/>
        <v>80.6506394156736</v>
      </c>
      <c r="BO57">
        <f t="shared" si="101"/>
        <v>0</v>
      </c>
      <c r="BP57">
        <f t="shared" si="102"/>
        <v>0</v>
      </c>
    </row>
    <row r="58" spans="1:68">
      <c r="A58" t="s">
        <v>504</v>
      </c>
      <c r="B58" s="12">
        <f>-(RFBB*gm_ea)/(RFBB+RFBT)</f>
        <v>-0.000100699300699301</v>
      </c>
      <c r="C58" t="s">
        <v>244</v>
      </c>
      <c r="N58" s="7">
        <v>40</v>
      </c>
      <c r="O58" s="18">
        <f t="shared" si="62"/>
        <v>25.1188643150958</v>
      </c>
      <c r="P58" s="86" t="str">
        <f t="shared" si="50"/>
        <v>75</v>
      </c>
      <c r="Q58" s="4" t="str">
        <f t="shared" si="51"/>
        <v>1+0,257783249356158i</v>
      </c>
      <c r="R58" s="4">
        <f t="shared" si="63"/>
        <v>1.03269172730715</v>
      </c>
      <c r="S58" s="4">
        <f t="shared" si="64"/>
        <v>0.252290553087113</v>
      </c>
      <c r="T58" s="4" t="str">
        <f t="shared" si="52"/>
        <v>1+0,00247471919381912i</v>
      </c>
      <c r="U58" s="4">
        <f t="shared" si="65"/>
        <v>1.00000306211286</v>
      </c>
      <c r="V58" s="4">
        <f t="shared" si="66"/>
        <v>0.00247471414191698</v>
      </c>
      <c r="W58" t="str">
        <f t="shared" si="53"/>
        <v>1-0,00129812279140065i</v>
      </c>
      <c r="X58" s="4">
        <f t="shared" si="67"/>
        <v>1.00000084256104</v>
      </c>
      <c r="Y58" s="4">
        <f t="shared" si="68"/>
        <v>-0.00129812206223596</v>
      </c>
      <c r="Z58" t="str">
        <f t="shared" si="54"/>
        <v>0,999999994849328+0,000407353363757684i</v>
      </c>
      <c r="AA58" s="4">
        <f t="shared" si="69"/>
        <v>1.00000007781771</v>
      </c>
      <c r="AB58" s="4">
        <f t="shared" si="70"/>
        <v>0.000407353343324197</v>
      </c>
      <c r="AC58" s="67" t="str">
        <f t="shared" si="71"/>
        <v>70,3408337362585-18,0749955626344i</v>
      </c>
      <c r="AD58" s="68">
        <f t="shared" si="72"/>
        <v>37.2218445477186</v>
      </c>
      <c r="AE58" s="31">
        <f t="shared" si="73"/>
        <v>-14.4111097698816</v>
      </c>
      <c r="AF58" s="32" t="str">
        <f t="shared" si="74"/>
        <v>249,914648392112</v>
      </c>
      <c r="AG58" s="32" t="str">
        <f t="shared" si="55"/>
        <v>1+0,16571780315753i</v>
      </c>
      <c r="AH58" s="32">
        <f t="shared" si="75"/>
        <v>1.01363819496078</v>
      </c>
      <c r="AI58" s="32">
        <f t="shared" si="76"/>
        <v>0.164225317050338</v>
      </c>
      <c r="AJ58" s="32" t="str">
        <f t="shared" si="56"/>
        <v>1+0,00247471919381912i</v>
      </c>
      <c r="AK58" s="32">
        <f t="shared" si="77"/>
        <v>1.00000306211286</v>
      </c>
      <c r="AL58" s="32">
        <f t="shared" si="78"/>
        <v>0.00247471414191698</v>
      </c>
      <c r="AM58" s="32" t="str">
        <f t="shared" si="57"/>
        <v>1-0,000250435223039152i</v>
      </c>
      <c r="AN58" s="32">
        <f t="shared" si="79"/>
        <v>1.0000000313589</v>
      </c>
      <c r="AO58" s="32">
        <f t="shared" si="80"/>
        <v>-0.00025043521780357</v>
      </c>
      <c r="AP58" s="30" t="str">
        <f t="shared" si="81"/>
        <v>243,324646279161-39,767344688984i</v>
      </c>
      <c r="AQ58" s="32">
        <f t="shared" si="82"/>
        <v>47.8382017808509</v>
      </c>
      <c r="AR58" s="31">
        <f t="shared" si="83"/>
        <v>-9.2819757613706</v>
      </c>
      <c r="AS58" t="str">
        <f t="shared" si="58"/>
        <v>-0,000100699300699301</v>
      </c>
      <c r="AT58" t="str">
        <f t="shared" si="59"/>
        <v>0,0000354636098757114i</v>
      </c>
      <c r="AU58">
        <f t="shared" si="84"/>
        <v>3.54636098757114e-5</v>
      </c>
      <c r="AV58">
        <f t="shared" si="85"/>
        <v>1.5707963267949</v>
      </c>
      <c r="AW58" t="str">
        <f t="shared" si="60"/>
        <v>1+0,00181567177893155i</v>
      </c>
      <c r="AX58">
        <f t="shared" si="86"/>
        <v>1.00000164833065</v>
      </c>
      <c r="AY58">
        <f t="shared" si="87"/>
        <v>0.00181566978371556</v>
      </c>
      <c r="AZ58" t="str">
        <f t="shared" si="61"/>
        <v>1+0,0868045635587063i</v>
      </c>
      <c r="BA58">
        <f t="shared" si="88"/>
        <v>1.00376044565156</v>
      </c>
      <c r="BB58">
        <f t="shared" si="89"/>
        <v>0.0865875189178679</v>
      </c>
      <c r="BC58" s="30" t="str">
        <f t="shared" si="90"/>
        <v>-0,241326074407173+2,83994889704467i</v>
      </c>
      <c r="BD58" s="32">
        <f t="shared" si="91"/>
        <v>9.09745751592816</v>
      </c>
      <c r="BE58" s="31">
        <f t="shared" si="92"/>
        <v>94.8570691769067</v>
      </c>
      <c r="BF58" s="30" t="str">
        <f t="shared" si="93"/>
        <v>34,356986436092+204,126340910547i</v>
      </c>
      <c r="BG58" s="68">
        <f t="shared" si="94"/>
        <v>46.3193020636467</v>
      </c>
      <c r="BH58" s="31">
        <f t="shared" si="95"/>
        <v>80.4459594070251</v>
      </c>
      <c r="BI58" s="30" t="str">
        <f t="shared" si="103"/>
        <v>54,2166449948115+700,626458007677i</v>
      </c>
      <c r="BJ58" s="68">
        <f t="shared" si="97"/>
        <v>56.935659296779</v>
      </c>
      <c r="BK58" s="31">
        <f t="shared" si="104"/>
        <v>85.5750934155361</v>
      </c>
      <c r="BL58" s="32">
        <f t="shared" si="99"/>
        <v>46.3193020636467</v>
      </c>
      <c r="BM58" s="31">
        <f t="shared" si="100"/>
        <v>80.4459594070251</v>
      </c>
      <c r="BO58">
        <f t="shared" si="101"/>
        <v>0</v>
      </c>
      <c r="BP58">
        <f t="shared" si="102"/>
        <v>0</v>
      </c>
    </row>
    <row r="59" spans="1:68">
      <c r="A59" t="s">
        <v>449</v>
      </c>
      <c r="B59" s="12">
        <f>1/(RCOMP*CCOMP)</f>
        <v>1818.18181818182</v>
      </c>
      <c r="E59" t="s">
        <v>505</v>
      </c>
      <c r="N59" s="7">
        <v>41</v>
      </c>
      <c r="O59" s="18">
        <f t="shared" si="62"/>
        <v>25.7039578276886</v>
      </c>
      <c r="P59" s="86" t="str">
        <f t="shared" si="50"/>
        <v>75</v>
      </c>
      <c r="Q59" s="4" t="str">
        <f t="shared" si="51"/>
        <v>1+0,263787792593518i</v>
      </c>
      <c r="R59" s="4">
        <f t="shared" si="63"/>
        <v>1.03420694230959</v>
      </c>
      <c r="S59" s="4">
        <f t="shared" si="64"/>
        <v>0.257912724954071</v>
      </c>
      <c r="T59" s="4" t="str">
        <f t="shared" si="52"/>
        <v>1+0,00253236280889778i</v>
      </c>
      <c r="U59" s="4">
        <f t="shared" si="65"/>
        <v>1.00000320642556</v>
      </c>
      <c r="V59" s="4">
        <f t="shared" si="66"/>
        <v>0.00253235739568804</v>
      </c>
      <c r="W59" t="str">
        <f t="shared" si="53"/>
        <v>1-0,00132835995556022i</v>
      </c>
      <c r="X59" s="4">
        <f t="shared" si="67"/>
        <v>1.0000008822697</v>
      </c>
      <c r="Y59" s="4">
        <f t="shared" si="68"/>
        <v>-0.00132835917424621</v>
      </c>
      <c r="Z59" t="str">
        <f t="shared" si="54"/>
        <v>0,999999994606584+0,00041684184251523i</v>
      </c>
      <c r="AA59" s="4">
        <f t="shared" si="69"/>
        <v>1.00000008148514</v>
      </c>
      <c r="AB59" s="4">
        <f t="shared" si="70"/>
        <v>0.000416841820620354</v>
      </c>
      <c r="AC59" s="67" t="str">
        <f t="shared" si="71"/>
        <v>70,1355392080991-18,441862109523i</v>
      </c>
      <c r="AD59" s="68">
        <f t="shared" si="72"/>
        <v>37.209111099378</v>
      </c>
      <c r="AE59" s="31">
        <f t="shared" si="73"/>
        <v>-14.732209883003</v>
      </c>
      <c r="AF59" s="32" t="str">
        <f t="shared" si="74"/>
        <v>249,914648392112</v>
      </c>
      <c r="AG59" s="32" t="str">
        <f t="shared" si="55"/>
        <v>1+0,169577866667262i</v>
      </c>
      <c r="AH59" s="32">
        <f t="shared" si="75"/>
        <v>1.01427641837096</v>
      </c>
      <c r="AI59" s="32">
        <f t="shared" si="76"/>
        <v>0.167979852206694</v>
      </c>
      <c r="AJ59" s="32" t="str">
        <f t="shared" si="56"/>
        <v>1+0,00253236280889778i</v>
      </c>
      <c r="AK59" s="32">
        <f t="shared" si="77"/>
        <v>1.00000320642556</v>
      </c>
      <c r="AL59" s="32">
        <f t="shared" si="78"/>
        <v>0.00253235739568804</v>
      </c>
      <c r="AM59" s="32" t="str">
        <f t="shared" si="57"/>
        <v>1-0,000256268608756231i</v>
      </c>
      <c r="AN59" s="32">
        <f t="shared" si="79"/>
        <v>1.0000000328368</v>
      </c>
      <c r="AO59" s="32">
        <f t="shared" si="80"/>
        <v>-0.000256268603146204</v>
      </c>
      <c r="AP59" s="30" t="str">
        <f t="shared" si="81"/>
        <v>243,022750558369-40,6424503095627i</v>
      </c>
      <c r="AQ59" s="32">
        <f t="shared" si="82"/>
        <v>47.8327358166921</v>
      </c>
      <c r="AR59" s="31">
        <f t="shared" si="83"/>
        <v>-9.49412629306523</v>
      </c>
      <c r="AS59" t="str">
        <f t="shared" si="58"/>
        <v>-0,000100699300699301</v>
      </c>
      <c r="AT59" t="str">
        <f t="shared" si="59"/>
        <v>0,000036289663466794i</v>
      </c>
      <c r="AU59">
        <f t="shared" si="84"/>
        <v>3.6289663466794e-5</v>
      </c>
      <c r="AV59">
        <f t="shared" si="85"/>
        <v>1.5707963267949</v>
      </c>
      <c r="AW59" t="str">
        <f t="shared" si="60"/>
        <v>1+0,00185796420766258i</v>
      </c>
      <c r="AX59">
        <f t="shared" si="86"/>
        <v>1.00000172601401</v>
      </c>
      <c r="AY59">
        <f t="shared" si="87"/>
        <v>0.00185796206975033</v>
      </c>
      <c r="AZ59" t="str">
        <f t="shared" si="61"/>
        <v>1+0,0888265015876133i</v>
      </c>
      <c r="BA59">
        <f t="shared" si="88"/>
        <v>1.00393732243816</v>
      </c>
      <c r="BB59">
        <f t="shared" si="89"/>
        <v>0.0885939832980965</v>
      </c>
      <c r="BC59" s="30" t="str">
        <f t="shared" si="90"/>
        <v>-0,241326036913196+2,77532394794342i</v>
      </c>
      <c r="BD59" s="32">
        <f t="shared" si="91"/>
        <v>8.8989872829392</v>
      </c>
      <c r="BE59" s="31">
        <f t="shared" si="92"/>
        <v>94.9696079481413</v>
      </c>
      <c r="BF59" s="30" t="str">
        <f t="shared" si="93"/>
        <v>34,2566098333689+199,099343062353i</v>
      </c>
      <c r="BG59" s="68">
        <f t="shared" si="94"/>
        <v>46.1080983823172</v>
      </c>
      <c r="BH59" s="31">
        <f t="shared" si="95"/>
        <v>80.2373980651384</v>
      </c>
      <c r="BI59" s="30" t="str">
        <f t="shared" si="103"/>
        <v>54,1482483752344+684,27494098337i</v>
      </c>
      <c r="BJ59" s="68">
        <f t="shared" si="97"/>
        <v>56.7317230996314</v>
      </c>
      <c r="BK59" s="31">
        <f t="shared" si="104"/>
        <v>85.4754816550761</v>
      </c>
      <c r="BL59" s="32">
        <f t="shared" si="99"/>
        <v>46.1080983823172</v>
      </c>
      <c r="BM59" s="31">
        <f t="shared" si="100"/>
        <v>80.2373980651384</v>
      </c>
      <c r="BO59">
        <f t="shared" si="101"/>
        <v>0</v>
      </c>
      <c r="BP59">
        <f t="shared" si="102"/>
        <v>0</v>
      </c>
    </row>
    <row r="60" spans="1:68">
      <c r="A60" t="s">
        <v>447</v>
      </c>
      <c r="B60" s="12">
        <f>(CCOMP+CHF)</f>
        <v>2.247e-7</v>
      </c>
      <c r="E60" t="s">
        <v>506</v>
      </c>
      <c r="N60" s="7">
        <v>42</v>
      </c>
      <c r="O60" s="18">
        <f t="shared" si="62"/>
        <v>26.3026799189538</v>
      </c>
      <c r="P60" s="86" t="str">
        <f t="shared" si="50"/>
        <v>75</v>
      </c>
      <c r="Q60" s="4" t="str">
        <f t="shared" si="51"/>
        <v>1+0,269932199610156i</v>
      </c>
      <c r="R60" s="4">
        <f t="shared" si="63"/>
        <v>1.03579119149874</v>
      </c>
      <c r="S60" s="4">
        <f t="shared" si="64"/>
        <v>0.263648639806099</v>
      </c>
      <c r="T60" s="4" t="str">
        <f t="shared" si="52"/>
        <v>1+0,0025913491162575i</v>
      </c>
      <c r="U60" s="4">
        <f t="shared" si="65"/>
        <v>1.00000335753948</v>
      </c>
      <c r="V60" s="4">
        <f t="shared" si="66"/>
        <v>0.00259134331589981</v>
      </c>
      <c r="W60" t="str">
        <f t="shared" si="53"/>
        <v>1-0,00135930143375114i</v>
      </c>
      <c r="X60" s="4">
        <f t="shared" si="67"/>
        <v>1.00000092384977</v>
      </c>
      <c r="Y60" s="4">
        <f t="shared" si="68"/>
        <v>-0.00135930059655814</v>
      </c>
      <c r="Z60" t="str">
        <f t="shared" si="54"/>
        <v>0,9999999943524+0,000426551336335232i</v>
      </c>
      <c r="AA60" s="4">
        <f t="shared" si="69"/>
        <v>1.00000008532542</v>
      </c>
      <c r="AB60" s="4">
        <f t="shared" si="70"/>
        <v>0.00042655131287445</v>
      </c>
      <c r="AC60" s="67" t="str">
        <f t="shared" si="71"/>
        <v>69,9218540574056-18,8137477640913i</v>
      </c>
      <c r="AD60" s="68">
        <f t="shared" si="72"/>
        <v>37.1958174462977</v>
      </c>
      <c r="AE60" s="31">
        <f t="shared" si="73"/>
        <v>-15.0598030772297</v>
      </c>
      <c r="AF60" s="32" t="str">
        <f t="shared" si="74"/>
        <v>249,914648392112</v>
      </c>
      <c r="AG60" s="32" t="str">
        <f t="shared" si="55"/>
        <v>1+0,173527842606529i</v>
      </c>
      <c r="AH60" s="32">
        <f t="shared" si="75"/>
        <v>1.01494429017541</v>
      </c>
      <c r="AI60" s="32">
        <f t="shared" si="76"/>
        <v>0.171816898004255</v>
      </c>
      <c r="AJ60" s="32" t="str">
        <f t="shared" si="56"/>
        <v>1+0,0025913491162575i</v>
      </c>
      <c r="AK60" s="32">
        <f t="shared" si="77"/>
        <v>1.00000335753948</v>
      </c>
      <c r="AL60" s="32">
        <f t="shared" si="78"/>
        <v>0.00259134331589981</v>
      </c>
      <c r="AM60" s="32" t="str">
        <f t="shared" si="57"/>
        <v>1-0,00026223787148179i</v>
      </c>
      <c r="AN60" s="32">
        <f t="shared" si="79"/>
        <v>1.00000003438435</v>
      </c>
      <c r="AO60" s="32">
        <f t="shared" si="80"/>
        <v>-0.000262237865470538</v>
      </c>
      <c r="AP60" s="30" t="str">
        <f t="shared" si="81"/>
        <v>242,707440023285-41,53441943399i</v>
      </c>
      <c r="AQ60" s="32">
        <f t="shared" si="82"/>
        <v>47.8270196167724</v>
      </c>
      <c r="AR60" s="31">
        <f t="shared" si="83"/>
        <v>-9.71093519232307</v>
      </c>
      <c r="AS60" t="str">
        <f t="shared" si="58"/>
        <v>-0,000100699300699301</v>
      </c>
      <c r="AT60" t="str">
        <f t="shared" si="59"/>
        <v>0,0000371349583177972i</v>
      </c>
      <c r="AU60">
        <f t="shared" si="84"/>
        <v>3.71349583177972e-5</v>
      </c>
      <c r="AV60">
        <f t="shared" si="85"/>
        <v>1.5707963267949</v>
      </c>
      <c r="AW60" t="str">
        <f t="shared" si="60"/>
        <v>1+0,00190124175360958i</v>
      </c>
      <c r="AX60">
        <f t="shared" si="86"/>
        <v>1.00000180735847</v>
      </c>
      <c r="AY60">
        <f t="shared" si="87"/>
        <v>0.00190123946279555</v>
      </c>
      <c r="AZ60" t="str">
        <f t="shared" si="61"/>
        <v>1+0,0908955366034198i</v>
      </c>
      <c r="BA60">
        <f t="shared" si="88"/>
        <v>1.00412250177676</v>
      </c>
      <c r="BB60">
        <f t="shared" si="89"/>
        <v>0.0906464439795119</v>
      </c>
      <c r="BC60" s="30" t="str">
        <f t="shared" si="90"/>
        <v>-0,241325997652197+2,71217051232856i</v>
      </c>
      <c r="BD60" s="32">
        <f t="shared" si="91"/>
        <v>8.70058856780977</v>
      </c>
      <c r="BE60" s="31">
        <f t="shared" si="92"/>
        <v>95.0847256708332</v>
      </c>
      <c r="BF60" s="30" t="str">
        <f t="shared" si="93"/>
        <v>34,1521307240611+194,180237190583i</v>
      </c>
      <c r="BG60" s="68">
        <f t="shared" si="94"/>
        <v>45.8964060141075</v>
      </c>
      <c r="BH60" s="31">
        <f t="shared" si="95"/>
        <v>80.0249225936035</v>
      </c>
      <c r="BI60" s="30" t="str">
        <f t="shared" si="103"/>
        <v>54,0768125343239+668,287297160719i</v>
      </c>
      <c r="BJ60" s="68">
        <f t="shared" si="97"/>
        <v>56.5276081845822</v>
      </c>
      <c r="BK60" s="31">
        <f t="shared" si="104"/>
        <v>85.3737904785101</v>
      </c>
      <c r="BL60" s="32">
        <f t="shared" si="99"/>
        <v>45.8964060141075</v>
      </c>
      <c r="BM60" s="31">
        <f t="shared" si="100"/>
        <v>80.0249225936035</v>
      </c>
      <c r="BO60">
        <f t="shared" si="101"/>
        <v>0</v>
      </c>
      <c r="BP60">
        <f t="shared" si="102"/>
        <v>0</v>
      </c>
    </row>
    <row r="61" spans="1:68">
      <c r="A61" t="s">
        <v>448</v>
      </c>
      <c r="B61" s="12">
        <f>(CCOMP+CHF)/(RCOMP*CHF*CCOMP)</f>
        <v>86924.5647969052</v>
      </c>
      <c r="E61" t="s">
        <v>507</v>
      </c>
      <c r="N61" s="7">
        <v>43</v>
      </c>
      <c r="O61" s="18">
        <f t="shared" si="62"/>
        <v>26.9153480392692</v>
      </c>
      <c r="P61" s="86" t="str">
        <f t="shared" si="50"/>
        <v>75</v>
      </c>
      <c r="Q61" s="4" t="str">
        <f t="shared" si="51"/>
        <v>1+0,276219728252003i</v>
      </c>
      <c r="R61" s="4">
        <f t="shared" si="63"/>
        <v>1.03744751109423</v>
      </c>
      <c r="S61" s="4">
        <f t="shared" si="64"/>
        <v>0.269499828556585</v>
      </c>
      <c r="T61" s="4" t="str">
        <f t="shared" si="52"/>
        <v>1+0,00265170939121923i</v>
      </c>
      <c r="U61" s="4">
        <f t="shared" si="65"/>
        <v>1.00000351577517</v>
      </c>
      <c r="V61" s="4">
        <f t="shared" si="66"/>
        <v>0.00265170317602517</v>
      </c>
      <c r="W61" t="str">
        <f t="shared" si="53"/>
        <v>1-0,00139096363155473i</v>
      </c>
      <c r="X61" s="4">
        <f t="shared" si="67"/>
        <v>1.00000096738944</v>
      </c>
      <c r="Y61" s="4">
        <f t="shared" si="68"/>
        <v>-0.00139096273448631</v>
      </c>
      <c r="Z61" t="str">
        <f t="shared" si="54"/>
        <v>0,999999994086237+0,000436486993319835i</v>
      </c>
      <c r="AA61" s="4">
        <f t="shared" si="69"/>
        <v>1.00000008934668</v>
      </c>
      <c r="AB61" s="4">
        <f t="shared" si="70"/>
        <v>0.000436486968181154</v>
      </c>
      <c r="AC61" s="67" t="str">
        <f t="shared" si="71"/>
        <v>69,6994938989233-19,1905559889392i</v>
      </c>
      <c r="AD61" s="68">
        <f t="shared" si="72"/>
        <v>37.1819407694929</v>
      </c>
      <c r="AE61" s="31">
        <f t="shared" si="73"/>
        <v>-15.3939765105192</v>
      </c>
      <c r="AF61" s="32" t="str">
        <f t="shared" si="74"/>
        <v>249,914648392112</v>
      </c>
      <c r="AG61" s="32" t="str">
        <f t="shared" si="55"/>
        <v>1+0,177569825304859i</v>
      </c>
      <c r="AH61" s="32">
        <f t="shared" si="75"/>
        <v>1.01564316709108</v>
      </c>
      <c r="AI61" s="32">
        <f t="shared" si="76"/>
        <v>0.17573803672899</v>
      </c>
      <c r="AJ61" s="32" t="str">
        <f t="shared" si="56"/>
        <v>1+0,00265170939121923i</v>
      </c>
      <c r="AK61" s="32">
        <f t="shared" si="77"/>
        <v>1.00000351577517</v>
      </c>
      <c r="AL61" s="32">
        <f t="shared" si="78"/>
        <v>0.00265170317602517</v>
      </c>
      <c r="AM61" s="32" t="str">
        <f t="shared" si="57"/>
        <v>1-0,000268346176197937i</v>
      </c>
      <c r="AN61" s="32">
        <f t="shared" si="79"/>
        <v>1.00000003600483</v>
      </c>
      <c r="AO61" s="32">
        <f t="shared" si="80"/>
        <v>-0.000268346169756764</v>
      </c>
      <c r="AP61" s="30" t="str">
        <f t="shared" si="81"/>
        <v>242,378157382424-42,443409684238i</v>
      </c>
      <c r="AQ61" s="32">
        <f t="shared" si="82"/>
        <v>47.8210420773618</v>
      </c>
      <c r="AR61" s="31">
        <f t="shared" si="83"/>
        <v>-9.93249150695407</v>
      </c>
      <c r="AS61" t="str">
        <f t="shared" si="58"/>
        <v>-0,000100699300699301</v>
      </c>
      <c r="AT61" t="str">
        <f t="shared" si="59"/>
        <v>0,0000379999426152399i</v>
      </c>
      <c r="AU61">
        <f t="shared" si="84"/>
        <v>3.79999426152399e-5</v>
      </c>
      <c r="AV61">
        <f t="shared" si="85"/>
        <v>1.5707963267949</v>
      </c>
      <c r="AW61" t="str">
        <f t="shared" si="60"/>
        <v>1+0,00194552736310026i</v>
      </c>
      <c r="AX61">
        <f t="shared" si="86"/>
        <v>1.00000189253657</v>
      </c>
      <c r="AY61">
        <f t="shared" si="87"/>
        <v>0.00194552490844906</v>
      </c>
      <c r="AZ61" t="str">
        <f t="shared" si="61"/>
        <v>1+0,0930127656358785i</v>
      </c>
      <c r="BA61">
        <f t="shared" si="88"/>
        <v>1.00431637175306</v>
      </c>
      <c r="BB61">
        <f t="shared" si="89"/>
        <v>0.0927459199961732</v>
      </c>
      <c r="BC61" s="30" t="str">
        <f t="shared" si="90"/>
        <v>-0,241325956540895+2,65045510541211i</v>
      </c>
      <c r="BD61" s="32">
        <f t="shared" si="91"/>
        <v>8.50226468579147</v>
      </c>
      <c r="BE61" s="31">
        <f t="shared" si="92"/>
        <v>95.202479416647</v>
      </c>
      <c r="BF61" s="30" t="str">
        <f t="shared" si="93"/>
        <v>34,0434100610069+189,366558729624i</v>
      </c>
      <c r="BG61" s="68">
        <f t="shared" si="94"/>
        <v>45.6842054552843</v>
      </c>
      <c r="BH61" s="31">
        <f t="shared" si="95"/>
        <v>79.8085029061278</v>
      </c>
      <c r="BI61" s="30" t="str">
        <f t="shared" si="103"/>
        <v>54,0022112137533+652,655121115531i</v>
      </c>
      <c r="BJ61" s="68">
        <f t="shared" si="97"/>
        <v>56.3233067631533</v>
      </c>
      <c r="BK61" s="31">
        <f t="shared" si="104"/>
        <v>85.2699879096929</v>
      </c>
      <c r="BL61" s="32">
        <f t="shared" si="99"/>
        <v>45.6842054552843</v>
      </c>
      <c r="BM61" s="31">
        <f t="shared" si="100"/>
        <v>79.8085029061278</v>
      </c>
      <c r="BO61">
        <f t="shared" si="101"/>
        <v>0</v>
      </c>
      <c r="BP61">
        <f t="shared" si="102"/>
        <v>0</v>
      </c>
    </row>
    <row r="62" spans="1:68">
      <c r="N62" s="7">
        <v>44</v>
      </c>
      <c r="O62" s="18">
        <f t="shared" si="62"/>
        <v>27.5422870333817</v>
      </c>
      <c r="P62" s="86" t="str">
        <f t="shared" si="50"/>
        <v>75</v>
      </c>
      <c r="Q62" s="4" t="str">
        <f t="shared" si="51"/>
        <v>1+0,282653712249969i</v>
      </c>
      <c r="R62" s="4">
        <f t="shared" si="63"/>
        <v>1.03917906110963</v>
      </c>
      <c r="S62" s="4">
        <f t="shared" si="64"/>
        <v>0.275467790347535</v>
      </c>
      <c r="T62" s="4" t="str">
        <f t="shared" si="52"/>
        <v>1+0,00271347563759971i</v>
      </c>
      <c r="U62" s="4">
        <f t="shared" si="65"/>
        <v>1.00000368146824</v>
      </c>
      <c r="V62" s="4">
        <f t="shared" si="66"/>
        <v>0.00271346897790062</v>
      </c>
      <c r="W62" t="str">
        <f t="shared" si="53"/>
        <v>1-0,00142336333668735i</v>
      </c>
      <c r="X62" s="4">
        <f t="shared" si="67"/>
        <v>1.00000101298108</v>
      </c>
      <c r="Y62" s="4">
        <f t="shared" si="68"/>
        <v>-0.00142336237546128</v>
      </c>
      <c r="Z62" t="str">
        <f t="shared" si="54"/>
        <v>0,99999999380753+0,000446654081485885i</v>
      </c>
      <c r="AA62" s="4">
        <f t="shared" si="69"/>
        <v>1.00000009355746</v>
      </c>
      <c r="AB62" s="4">
        <f t="shared" si="70"/>
        <v>0.000446654054549303</v>
      </c>
      <c r="AC62" s="67" t="str">
        <f t="shared" si="71"/>
        <v>69,4681699341563-19,572176890462i</v>
      </c>
      <c r="AD62" s="68">
        <f t="shared" si="72"/>
        <v>37.1674574834781</v>
      </c>
      <c r="AE62" s="31">
        <f t="shared" si="73"/>
        <v>-15.7348155074947</v>
      </c>
      <c r="AF62" s="32" t="str">
        <f t="shared" si="74"/>
        <v>249,914648392112</v>
      </c>
      <c r="AG62" s="32" t="str">
        <f t="shared" si="55"/>
        <v>1+0,18170595787498i</v>
      </c>
      <c r="AH62" s="32">
        <f t="shared" si="75"/>
        <v>1.01637446599532</v>
      </c>
      <c r="AI62" s="32">
        <f t="shared" si="76"/>
        <v>0.179744864870193</v>
      </c>
      <c r="AJ62" s="32" t="str">
        <f t="shared" si="56"/>
        <v>1+0,00271347563759971i</v>
      </c>
      <c r="AK62" s="32">
        <f t="shared" si="77"/>
        <v>1.00000368146824</v>
      </c>
      <c r="AL62" s="32">
        <f t="shared" si="78"/>
        <v>0.00271346897790062</v>
      </c>
      <c r="AM62" s="32" t="str">
        <f t="shared" si="57"/>
        <v>1-0,000274596761608686i</v>
      </c>
      <c r="AN62" s="32">
        <f t="shared" si="79"/>
        <v>1.00000003770169</v>
      </c>
      <c r="AO62" s="32">
        <f t="shared" si="80"/>
        <v>-0.000274596754706845</v>
      </c>
      <c r="AP62" s="30" t="str">
        <f t="shared" si="81"/>
        <v>242,034325809729-43,3695674531175i</v>
      </c>
      <c r="AQ62" s="32">
        <f t="shared" si="82"/>
        <v>47.8147916349005</v>
      </c>
      <c r="AR62" s="31">
        <f t="shared" si="83"/>
        <v>-10.1588850610506</v>
      </c>
      <c r="AS62" t="str">
        <f t="shared" si="58"/>
        <v>-0,000100699300699301</v>
      </c>
      <c r="AT62" t="str">
        <f t="shared" si="59"/>
        <v>0,0000388850749852457i</v>
      </c>
      <c r="AU62">
        <f t="shared" si="84"/>
        <v>3.88850749852457e-5</v>
      </c>
      <c r="AV62">
        <f t="shared" si="85"/>
        <v>1.5707963267949</v>
      </c>
      <c r="AW62" t="str">
        <f t="shared" si="60"/>
        <v>1+0,00199084451695096i</v>
      </c>
      <c r="AX62">
        <f t="shared" si="86"/>
        <v>1.00000198172898</v>
      </c>
      <c r="AY62">
        <f t="shared" si="87"/>
        <v>0.00199084188674509</v>
      </c>
      <c r="AZ62" t="str">
        <f t="shared" si="61"/>
        <v>1+0,0951793112678467i</v>
      </c>
      <c r="BA62">
        <f t="shared" si="88"/>
        <v>1.00451933843676</v>
      </c>
      <c r="BB62">
        <f t="shared" si="89"/>
        <v>0.0948934504445994</v>
      </c>
      <c r="BC62" s="30" t="str">
        <f t="shared" si="90"/>
        <v>-0,241325913492095+2,59014500486795i</v>
      </c>
      <c r="BD62" s="32">
        <f t="shared" si="91"/>
        <v>8.30401910311426</v>
      </c>
      <c r="BE62" s="31">
        <f t="shared" si="92"/>
        <v>95.322927376121</v>
      </c>
      <c r="BF62" s="30" t="str">
        <f t="shared" si="93"/>
        <v>33,9303066392377+184,655906819392i</v>
      </c>
      <c r="BG62" s="68">
        <f t="shared" si="94"/>
        <v>45.4714765865923</v>
      </c>
      <c r="BH62" s="31">
        <f t="shared" si="95"/>
        <v>79.5881118686263</v>
      </c>
      <c r="BI62" s="30" t="str">
        <f t="shared" si="103"/>
        <v>53,9243137294997+637,370200486032i</v>
      </c>
      <c r="BJ62" s="68">
        <f t="shared" si="97"/>
        <v>56.1188107380148</v>
      </c>
      <c r="BK62" s="31">
        <f t="shared" si="104"/>
        <v>85.1640423150703</v>
      </c>
      <c r="BL62" s="32">
        <f t="shared" si="99"/>
        <v>45.4714765865923</v>
      </c>
      <c r="BM62" s="31">
        <f t="shared" si="100"/>
        <v>79.5881118686263</v>
      </c>
      <c r="BO62">
        <f t="shared" si="101"/>
        <v>0</v>
      </c>
      <c r="BP62">
        <f t="shared" si="102"/>
        <v>0</v>
      </c>
    </row>
    <row r="63" spans="1:68">
      <c r="N63" s="7">
        <v>45</v>
      </c>
      <c r="O63" s="18">
        <f t="shared" si="62"/>
        <v>28.1838293126445</v>
      </c>
      <c r="P63" s="86" t="str">
        <f t="shared" si="50"/>
        <v>75</v>
      </c>
      <c r="Q63" s="4" t="str">
        <f t="shared" si="51"/>
        <v>1+0,289237562987533i</v>
      </c>
      <c r="R63" s="4">
        <f t="shared" si="63"/>
        <v>1.04098912955082</v>
      </c>
      <c r="S63" s="4">
        <f t="shared" si="64"/>
        <v>0.28155398833088</v>
      </c>
      <c r="T63" s="4" t="str">
        <f t="shared" si="52"/>
        <v>1+0,00277668060468032i</v>
      </c>
      <c r="U63" s="4">
        <f t="shared" si="65"/>
        <v>1.00000385497016</v>
      </c>
      <c r="V63" s="4">
        <f t="shared" si="66"/>
        <v>0.00277667346868566</v>
      </c>
      <c r="W63" t="str">
        <f t="shared" si="53"/>
        <v>1-0,0014565177279015i</v>
      </c>
      <c r="X63" s="4">
        <f t="shared" si="67"/>
        <v>1.00000106072138</v>
      </c>
      <c r="Y63" s="4">
        <f t="shared" si="68"/>
        <v>-0.00145651669792927</v>
      </c>
      <c r="Z63" t="str">
        <f t="shared" si="54"/>
        <v>0,999999993515688+0,0004570579915581i</v>
      </c>
      <c r="AA63" s="4">
        <f t="shared" si="69"/>
        <v>1.00000009796669</v>
      </c>
      <c r="AB63" s="4">
        <f t="shared" si="70"/>
        <v>0.000457057962695033</v>
      </c>
      <c r="AC63" s="67" t="str">
        <f t="shared" si="71"/>
        <v>69,2275893888616-19,9584865319052i</v>
      </c>
      <c r="AD63" s="68">
        <f t="shared" si="72"/>
        <v>37.1523432250434</v>
      </c>
      <c r="AE63" s="31">
        <f t="shared" si="73"/>
        <v>-16.0824033174304</v>
      </c>
      <c r="AF63" s="32" t="str">
        <f t="shared" si="74"/>
        <v>249,914648392112</v>
      </c>
      <c r="AG63" s="32" t="str">
        <f t="shared" si="55"/>
        <v>1+0,185938433349128i</v>
      </c>
      <c r="AH63" s="32">
        <f t="shared" si="75"/>
        <v>1.01713966641574</v>
      </c>
      <c r="AI63" s="32">
        <f t="shared" si="76"/>
        <v>0.183838992020388</v>
      </c>
      <c r="AJ63" s="32" t="str">
        <f t="shared" si="56"/>
        <v>1+0,00277668060468032i</v>
      </c>
      <c r="AK63" s="32">
        <f t="shared" si="77"/>
        <v>1.00000385497016</v>
      </c>
      <c r="AL63" s="32">
        <f t="shared" si="78"/>
        <v>0.00277667346868566</v>
      </c>
      <c r="AM63" s="32" t="str">
        <f t="shared" si="57"/>
        <v>1-0,000280992941857155i</v>
      </c>
      <c r="AN63" s="32">
        <f t="shared" si="79"/>
        <v>1.00000003947852</v>
      </c>
      <c r="AO63" s="32">
        <f t="shared" si="80"/>
        <v>-0.000280992934461699</v>
      </c>
      <c r="AP63" s="30" t="str">
        <f t="shared" si="81"/>
        <v>241,675348603456-44,31302679368i</v>
      </c>
      <c r="AQ63" s="32">
        <f t="shared" si="82"/>
        <v>47.808256250019</v>
      </c>
      <c r="AR63" s="31">
        <f t="shared" si="83"/>
        <v>-10.3902063910835</v>
      </c>
      <c r="AS63" t="str">
        <f t="shared" si="58"/>
        <v>-0,000100699300699301</v>
      </c>
      <c r="AT63" t="str">
        <f t="shared" si="59"/>
        <v>0,0000397908247367135i</v>
      </c>
      <c r="AU63">
        <f t="shared" si="84"/>
        <v>3.97908247367135e-5</v>
      </c>
      <c r="AV63">
        <f t="shared" si="85"/>
        <v>1.5707963267949</v>
      </c>
      <c r="AW63" t="str">
        <f t="shared" si="60"/>
        <v>1+0,00203721724291647i</v>
      </c>
      <c r="AX63">
        <f t="shared" si="86"/>
        <v>1.00000207512489</v>
      </c>
      <c r="AY63">
        <f t="shared" si="87"/>
        <v>0.00203721442460042</v>
      </c>
      <c r="AZ63" t="str">
        <f t="shared" si="61"/>
        <v>1+0,0973963222304956i</v>
      </c>
      <c r="BA63">
        <f t="shared" si="88"/>
        <v>1.00473182670005</v>
      </c>
      <c r="BB63">
        <f t="shared" si="89"/>
        <v>0.0970900946968263</v>
      </c>
      <c r="BC63" s="30" t="str">
        <f t="shared" si="90"/>
        <v>-0,241325868414482+2,5312082334819i</v>
      </c>
      <c r="BD63" s="32">
        <f t="shared" si="91"/>
        <v>8.10585544360361</v>
      </c>
      <c r="BE63" s="31">
        <f t="shared" si="92"/>
        <v>95.4461288701609</v>
      </c>
      <c r="BF63" s="30" t="str">
        <f t="shared" si="93"/>
        <v>33,8126773098879+180,045943339741i</v>
      </c>
      <c r="BG63" s="68">
        <f t="shared" si="94"/>
        <v>45.258198668647</v>
      </c>
      <c r="BH63" s="31">
        <f t="shared" si="95"/>
        <v>79.3637255527304</v>
      </c>
      <c r="BI63" s="30" t="str">
        <f t="shared" si="103"/>
        <v>53,8429848945652+622,424511887735i</v>
      </c>
      <c r="BJ63" s="68">
        <f t="shared" si="97"/>
        <v>55.9141116936226</v>
      </c>
      <c r="BK63" s="31">
        <f t="shared" si="104"/>
        <v>85.0559224790774</v>
      </c>
      <c r="BL63" s="32">
        <f t="shared" si="99"/>
        <v>45.258198668647</v>
      </c>
      <c r="BM63" s="31">
        <f t="shared" si="100"/>
        <v>79.3637255527304</v>
      </c>
      <c r="BO63">
        <f t="shared" si="101"/>
        <v>0</v>
      </c>
      <c r="BP63">
        <f t="shared" si="102"/>
        <v>0</v>
      </c>
    </row>
    <row r="64" spans="1:68">
      <c r="N64" s="7">
        <v>46</v>
      </c>
      <c r="O64" s="18">
        <f t="shared" si="62"/>
        <v>28.8403150312661</v>
      </c>
      <c r="P64" s="86" t="str">
        <f t="shared" si="50"/>
        <v>75</v>
      </c>
      <c r="Q64" s="4" t="str">
        <f t="shared" si="51"/>
        <v>1+0,295974771309507i</v>
      </c>
      <c r="R64" s="4">
        <f t="shared" si="63"/>
        <v>1.04288113668419</v>
      </c>
      <c r="S64" s="4">
        <f t="shared" si="64"/>
        <v>0.287759845237372</v>
      </c>
      <c r="T64" s="4" t="str">
        <f t="shared" si="52"/>
        <v>1+0,00284135780457127i</v>
      </c>
      <c r="U64" s="4">
        <f t="shared" si="65"/>
        <v>1.00000403664894</v>
      </c>
      <c r="V64" s="4">
        <f t="shared" si="66"/>
        <v>0.0028413501582169</v>
      </c>
      <c r="W64" t="str">
        <f t="shared" si="53"/>
        <v>1-0,0014904443840943i</v>
      </c>
      <c r="X64" s="4">
        <f t="shared" si="67"/>
        <v>1.00000111071161</v>
      </c>
      <c r="Y64" s="4">
        <f t="shared" si="68"/>
        <v>-0.00149044328045923</v>
      </c>
      <c r="Z64" t="str">
        <f t="shared" si="54"/>
        <v>0,999999993210092+0,000467704239827322i</v>
      </c>
      <c r="AA64" s="4">
        <f t="shared" si="69"/>
        <v>1.00000010258371</v>
      </c>
      <c r="AB64" s="4">
        <f t="shared" si="70"/>
        <v>0.000467704208899988</v>
      </c>
      <c r="AC64" s="67" t="str">
        <f t="shared" si="71"/>
        <v>68,9774560065759-20,349346241338i</v>
      </c>
      <c r="AD64" s="68">
        <f t="shared" si="72"/>
        <v>37.1365728432754</v>
      </c>
      <c r="AE64" s="31">
        <f t="shared" si="73"/>
        <v>-16.4368208600589</v>
      </c>
      <c r="AF64" s="32" t="str">
        <f t="shared" si="74"/>
        <v>249,914648392112</v>
      </c>
      <c r="AG64" s="32" t="str">
        <f t="shared" si="55"/>
        <v>1+0,190269495841826i</v>
      </c>
      <c r="AH64" s="32">
        <f t="shared" si="75"/>
        <v>1.01794031310677</v>
      </c>
      <c r="AI64" s="32">
        <f t="shared" si="76"/>
        <v>0.188022039668583</v>
      </c>
      <c r="AJ64" s="32" t="str">
        <f t="shared" si="56"/>
        <v>1+0,00284135780457127i</v>
      </c>
      <c r="AK64" s="32">
        <f t="shared" si="77"/>
        <v>1.00000403664894</v>
      </c>
      <c r="AL64" s="32">
        <f t="shared" si="78"/>
        <v>0.0028413501582169</v>
      </c>
      <c r="AM64" s="32" t="str">
        <f t="shared" si="57"/>
        <v>1-0,000287538108282782i</v>
      </c>
      <c r="AN64" s="32">
        <f t="shared" si="79"/>
        <v>1.00000004133908</v>
      </c>
      <c r="AO64" s="32">
        <f t="shared" si="80"/>
        <v>-0.000287538100358408</v>
      </c>
      <c r="AP64" s="30" t="str">
        <f t="shared" si="81"/>
        <v>241,300608875365-45,2739082455866i</v>
      </c>
      <c r="AQ64" s="32">
        <f t="shared" si="82"/>
        <v>47.8014233912934</v>
      </c>
      <c r="AR64" s="31">
        <f t="shared" si="83"/>
        <v>-10.6265466758662</v>
      </c>
      <c r="AS64" t="str">
        <f t="shared" si="58"/>
        <v>-0,000100699300699301</v>
      </c>
      <c r="AT64" t="str">
        <f t="shared" si="59"/>
        <v>0,0000407176721101507i</v>
      </c>
      <c r="AU64">
        <f t="shared" si="84"/>
        <v>4.07176721101507e-5</v>
      </c>
      <c r="AV64">
        <f t="shared" si="85"/>
        <v>1.5707963267949</v>
      </c>
      <c r="AW64" t="str">
        <f t="shared" si="60"/>
        <v>1+0,00208467012842995i</v>
      </c>
      <c r="AX64">
        <f t="shared" si="86"/>
        <v>1.00000217292241</v>
      </c>
      <c r="AY64">
        <f t="shared" si="87"/>
        <v>0.00208466710855025</v>
      </c>
      <c r="AZ64" t="str">
        <f t="shared" si="61"/>
        <v>1+0,099664974012385i</v>
      </c>
      <c r="BA64">
        <f t="shared" si="88"/>
        <v>1.00495428107197</v>
      </c>
      <c r="BB64">
        <f t="shared" si="89"/>
        <v>0.0993369326012563</v>
      </c>
      <c r="BC64" s="30" t="str">
        <f t="shared" si="90"/>
        <v>-0,241325821212446+2,47361354219708i</v>
      </c>
      <c r="BD64" s="32">
        <f t="shared" si="91"/>
        <v>7.90777749556367</v>
      </c>
      <c r="BE64" s="31">
        <f t="shared" si="92"/>
        <v>95.5721443608178</v>
      </c>
      <c r="BF64" s="30" t="str">
        <f t="shared" si="93"/>
        <v>33,6903772214986+175,534391976997i</v>
      </c>
      <c r="BG64" s="68">
        <f t="shared" si="94"/>
        <v>45.0443503388391</v>
      </c>
      <c r="BH64" s="31">
        <f t="shared" si="95"/>
        <v>79.135323500759</v>
      </c>
      <c r="BI64" s="30" t="str">
        <f t="shared" si="103"/>
        <v>53,7580849485604+607,810216941367i</v>
      </c>
      <c r="BJ64" s="68">
        <f t="shared" si="97"/>
        <v>55.7092008868571</v>
      </c>
      <c r="BK64" s="31">
        <f t="shared" si="104"/>
        <v>84.9455976849516</v>
      </c>
      <c r="BL64" s="32">
        <f t="shared" si="99"/>
        <v>45.0443503388391</v>
      </c>
      <c r="BM64" s="31">
        <f t="shared" si="100"/>
        <v>79.135323500759</v>
      </c>
      <c r="BO64">
        <f t="shared" si="101"/>
        <v>0</v>
      </c>
      <c r="BP64">
        <f t="shared" si="102"/>
        <v>0</v>
      </c>
    </row>
    <row r="65" spans="1:68">
      <c r="A65" s="79" t="s">
        <v>508</v>
      </c>
      <c r="N65" s="7">
        <v>47</v>
      </c>
      <c r="O65" s="18">
        <f t="shared" si="62"/>
        <v>29.5120922666639</v>
      </c>
      <c r="P65" s="86" t="str">
        <f t="shared" si="50"/>
        <v>75</v>
      </c>
      <c r="Q65" s="4" t="str">
        <f t="shared" si="51"/>
        <v>1+0,302868909372917i</v>
      </c>
      <c r="R65" s="4">
        <f t="shared" si="63"/>
        <v>1.04485863936934</v>
      </c>
      <c r="S65" s="4">
        <f t="shared" si="64"/>
        <v>0.294086738732018</v>
      </c>
      <c r="T65" s="4" t="str">
        <f t="shared" si="52"/>
        <v>1+0,00290754152998001i</v>
      </c>
      <c r="U65" s="4">
        <f t="shared" si="65"/>
        <v>1.00000422688994</v>
      </c>
      <c r="V65" s="4">
        <f t="shared" si="66"/>
        <v>0.00290753333676556</v>
      </c>
      <c r="W65" t="str">
        <f t="shared" si="53"/>
        <v>1-0,00152516129362791i</v>
      </c>
      <c r="X65" s="4">
        <f t="shared" si="67"/>
        <v>1.00000116305781</v>
      </c>
      <c r="Y65" s="4">
        <f t="shared" si="68"/>
        <v>-0.0015251601110617</v>
      </c>
      <c r="Z65" t="str">
        <f t="shared" si="54"/>
        <v>0,999999992890093+0,000478598471075296i</v>
      </c>
      <c r="AA65" s="4">
        <f t="shared" si="69"/>
        <v>1.00000010741834</v>
      </c>
      <c r="AB65" s="4">
        <f t="shared" si="70"/>
        <v>0.000478598437936061</v>
      </c>
      <c r="AC65" s="67" t="str">
        <f t="shared" si="71"/>
        <v>68,7174706012746-20,7446019179521i</v>
      </c>
      <c r="AD65" s="68">
        <f t="shared" si="72"/>
        <v>37.1201203909769</v>
      </c>
      <c r="AE65" s="31">
        <f t="shared" si="73"/>
        <v>-16.7981464591418</v>
      </c>
      <c r="AF65" s="32" t="str">
        <f t="shared" si="74"/>
        <v>249,914648392112</v>
      </c>
      <c r="AG65" s="32" t="str">
        <f t="shared" si="55"/>
        <v>1+0,194701441739732i</v>
      </c>
      <c r="AH65" s="32">
        <f t="shared" si="75"/>
        <v>1.01877801871435</v>
      </c>
      <c r="AI65" s="32">
        <f t="shared" si="76"/>
        <v>0.192295639880895</v>
      </c>
      <c r="AJ65" s="32" t="str">
        <f t="shared" si="56"/>
        <v>1+0,00290754152998001i</v>
      </c>
      <c r="AK65" s="32">
        <f t="shared" si="77"/>
        <v>1.00000422688994</v>
      </c>
      <c r="AL65" s="32">
        <f t="shared" si="78"/>
        <v>0.00290753333676556</v>
      </c>
      <c r="AM65" s="32" t="str">
        <f t="shared" si="57"/>
        <v>1-0,000294235731219435i</v>
      </c>
      <c r="AN65" s="32">
        <f t="shared" si="79"/>
        <v>1.00000004328733</v>
      </c>
      <c r="AO65" s="32">
        <f t="shared" si="80"/>
        <v>-0.000294235722728315</v>
      </c>
      <c r="AP65" s="30" t="str">
        <f t="shared" si="81"/>
        <v>240,909469274859-46,2523175967303i</v>
      </c>
      <c r="AQ65" s="32">
        <f t="shared" si="82"/>
        <v>47.7942800187632</v>
      </c>
      <c r="AR65" s="31">
        <f t="shared" si="83"/>
        <v>-10.8679976600468</v>
      </c>
      <c r="AS65" t="str">
        <f t="shared" si="58"/>
        <v>-0,000100699300699301</v>
      </c>
      <c r="AT65" t="str">
        <f t="shared" si="59"/>
        <v>0,0000416661085323027i</v>
      </c>
      <c r="AU65">
        <f t="shared" si="84"/>
        <v>4.16661085323027e-5</v>
      </c>
      <c r="AV65">
        <f t="shared" si="85"/>
        <v>1.5707963267949</v>
      </c>
      <c r="AW65" t="str">
        <f t="shared" si="60"/>
        <v>1+0,00213322833363939i</v>
      </c>
      <c r="AX65">
        <f t="shared" si="86"/>
        <v>1.00000227532897</v>
      </c>
      <c r="AY65">
        <f t="shared" si="87"/>
        <v>0.00213322509778039</v>
      </c>
      <c r="AZ65" t="str">
        <f t="shared" si="61"/>
        <v>1+0,101986469482717i</v>
      </c>
      <c r="BA65">
        <f t="shared" si="88"/>
        <v>1.00518716662995</v>
      </c>
      <c r="BB65">
        <f t="shared" si="89"/>
        <v>0.101635064669901</v>
      </c>
      <c r="BC65" s="30" t="str">
        <f t="shared" si="90"/>
        <v>-0,241325771785866+2,41733039354522i</v>
      </c>
      <c r="BD65" s="32">
        <f t="shared" si="91"/>
        <v>7.7097892189335</v>
      </c>
      <c r="BE65" s="31">
        <f t="shared" si="92"/>
        <v>95.7010354612703</v>
      </c>
      <c r="BF65" s="30" t="str">
        <f t="shared" si="93"/>
        <v>33,5632600902369+171,119037320252i</v>
      </c>
      <c r="BG65" s="68">
        <f t="shared" si="94"/>
        <v>44.8299096099104</v>
      </c>
      <c r="BH65" s="31">
        <f t="shared" si="95"/>
        <v>78.9028890021286</v>
      </c>
      <c r="BI65" s="30" t="str">
        <f t="shared" si="103"/>
        <v>53,6694694952038+593,519658411881i</v>
      </c>
      <c r="BJ65" s="68">
        <f t="shared" si="97"/>
        <v>55.5040692376967</v>
      </c>
      <c r="BK65" s="31">
        <f t="shared" si="104"/>
        <v>84.8330378012235</v>
      </c>
      <c r="BL65" s="32">
        <f t="shared" si="99"/>
        <v>44.8299096099104</v>
      </c>
      <c r="BM65" s="31">
        <f t="shared" si="100"/>
        <v>78.9028890021286</v>
      </c>
      <c r="BO65">
        <f t="shared" si="101"/>
        <v>0</v>
      </c>
      <c r="BP65">
        <f t="shared" si="102"/>
        <v>0</v>
      </c>
    </row>
    <row r="66" spans="1:68">
      <c r="A66" t="s">
        <v>509</v>
      </c>
      <c r="B66">
        <f>SQRT((2*IOUT*Lm*Fsw*(VOUT-VIN_var)/(VIN_var^2)))</f>
        <v>2.22148598915231</v>
      </c>
      <c r="E66" t="s">
        <v>510</v>
      </c>
      <c r="N66" s="7">
        <v>48</v>
      </c>
      <c r="O66" s="18">
        <f t="shared" si="62"/>
        <v>30.1995172040202</v>
      </c>
      <c r="P66" s="86" t="str">
        <f t="shared" si="50"/>
        <v>75</v>
      </c>
      <c r="Q66" s="4" t="str">
        <f t="shared" si="51"/>
        <v>1+0,309923632541021i</v>
      </c>
      <c r="R66" s="4">
        <f t="shared" si="63"/>
        <v>1.04692533545016</v>
      </c>
      <c r="S66" s="4">
        <f t="shared" si="64"/>
        <v>0.300535996556126</v>
      </c>
      <c r="T66" s="4" t="str">
        <f t="shared" si="52"/>
        <v>1+0,0029752668723938i</v>
      </c>
      <c r="U66" s="4">
        <f t="shared" si="65"/>
        <v>1.00000442609669</v>
      </c>
      <c r="V66" s="4">
        <f t="shared" si="66"/>
        <v>0.00297525809320844</v>
      </c>
      <c r="W66" t="str">
        <f t="shared" si="53"/>
        <v>1-0,00156068686386728i</v>
      </c>
      <c r="X66" s="4">
        <f t="shared" si="67"/>
        <v>1.000001217871</v>
      </c>
      <c r="Y66" s="4">
        <f t="shared" si="68"/>
        <v>-0.00156068559672484</v>
      </c>
      <c r="Z66" t="str">
        <f t="shared" si="54"/>
        <v>0,999999992555014+0,000489746461567634i</v>
      </c>
      <c r="AA66" s="4">
        <f t="shared" si="69"/>
        <v>1.00000011248081</v>
      </c>
      <c r="AB66" s="4">
        <f t="shared" si="70"/>
        <v>0.000489746426058304</v>
      </c>
      <c r="AC66" s="67" t="str">
        <f t="shared" si="71"/>
        <v>68,4473316721841-21,1440833405141i</v>
      </c>
      <c r="AD66" s="68">
        <f t="shared" si="72"/>
        <v>37.1029591176483</v>
      </c>
      <c r="AE66" s="31">
        <f t="shared" si="73"/>
        <v>-17.1664555638053</v>
      </c>
      <c r="AF66" s="32" t="str">
        <f t="shared" si="74"/>
        <v>249,914648392112</v>
      </c>
      <c r="AG66" s="32" t="str">
        <f t="shared" si="55"/>
        <v>1+0,199236620919228i</v>
      </c>
      <c r="AH66" s="32">
        <f t="shared" si="75"/>
        <v>1.01965446653036</v>
      </c>
      <c r="AI66" s="32">
        <f t="shared" si="76"/>
        <v>0.19666143386246</v>
      </c>
      <c r="AJ66" s="32" t="str">
        <f t="shared" si="56"/>
        <v>1+0,0029752668723938i</v>
      </c>
      <c r="AK66" s="32">
        <f t="shared" si="77"/>
        <v>1.00000442609669</v>
      </c>
      <c r="AL66" s="32">
        <f t="shared" si="78"/>
        <v>0.00297525809320844</v>
      </c>
      <c r="AM66" s="32" t="str">
        <f t="shared" si="57"/>
        <v>1-0,000301089361835452i</v>
      </c>
      <c r="AN66" s="32">
        <f t="shared" si="79"/>
        <v>1.0000000453274</v>
      </c>
      <c r="AO66" s="32">
        <f t="shared" si="80"/>
        <v>-0.000301089352737053</v>
      </c>
      <c r="AP66" s="30" t="str">
        <f t="shared" si="81"/>
        <v>240,501271753091-47,2483445785735i</v>
      </c>
      <c r="AQ66" s="32">
        <f t="shared" si="82"/>
        <v>47.786812567241</v>
      </c>
      <c r="AR66" s="31">
        <f t="shared" si="83"/>
        <v>-11.1146515707753</v>
      </c>
      <c r="AS66" t="str">
        <f t="shared" si="58"/>
        <v>-0,000100699300699301</v>
      </c>
      <c r="AT66" t="str">
        <f t="shared" si="59"/>
        <v>0,0000426366368767147i</v>
      </c>
      <c r="AU66">
        <f t="shared" si="84"/>
        <v>4.26366368767147e-5</v>
      </c>
      <c r="AV66">
        <f t="shared" si="85"/>
        <v>1.5707963267949</v>
      </c>
      <c r="AW66" t="str">
        <f t="shared" si="60"/>
        <v>1+0,00218291760474794i</v>
      </c>
      <c r="AX66">
        <f t="shared" si="86"/>
        <v>1.0000023825618</v>
      </c>
      <c r="AY66">
        <f t="shared" si="87"/>
        <v>0.002182914137463</v>
      </c>
      <c r="AZ66" t="str">
        <f t="shared" si="61"/>
        <v>1+0,104362039529119i</v>
      </c>
      <c r="BA66">
        <f t="shared" si="88"/>
        <v>1.00543096993015</v>
      </c>
      <c r="BB66">
        <f t="shared" si="89"/>
        <v>0.103985612250547</v>
      </c>
      <c r="BC66" s="30" t="str">
        <f t="shared" si="90"/>
        <v>-0,241325720029904+2,36232894545521i</v>
      </c>
      <c r="BD66" s="32">
        <f t="shared" si="91"/>
        <v>7.51189475272487</v>
      </c>
      <c r="BE66" s="31">
        <f t="shared" si="92"/>
        <v>95.8328649449241</v>
      </c>
      <c r="BF66" s="30" t="str">
        <f t="shared" si="93"/>
        <v>33,4311785004983+166,797723984896i</v>
      </c>
      <c r="BG66" s="68">
        <f t="shared" si="94"/>
        <v>44.6148538703732</v>
      </c>
      <c r="BH66" s="31">
        <f t="shared" si="95"/>
        <v>78.6664093811188</v>
      </c>
      <c r="BI66" s="30" t="str">
        <f t="shared" si="103"/>
        <v>53,5769894488836+579,545356456762i</v>
      </c>
      <c r="BJ66" s="68">
        <f t="shared" si="97"/>
        <v>55.2987073199659</v>
      </c>
      <c r="BK66" s="31">
        <f t="shared" si="104"/>
        <v>84.7182133741488</v>
      </c>
      <c r="BL66" s="32">
        <f t="shared" si="99"/>
        <v>44.6148538703732</v>
      </c>
      <c r="BM66" s="31">
        <f t="shared" si="100"/>
        <v>78.6664093811188</v>
      </c>
      <c r="BO66">
        <f t="shared" si="101"/>
        <v>0</v>
      </c>
      <c r="BP66">
        <f t="shared" si="102"/>
        <v>0</v>
      </c>
    </row>
    <row r="67" spans="1:68">
      <c r="A67" t="s">
        <v>342</v>
      </c>
      <c r="B67">
        <f>(Fsw*Gcomp)/((R_cs*Acs*(VIN_var/Lm))+((R_sl+Rsl_int)*Isl))</f>
        <v>74.0242519849337</v>
      </c>
      <c r="C67" t="s">
        <v>244</v>
      </c>
      <c r="E67" t="s">
        <v>511</v>
      </c>
      <c r="N67" s="7">
        <v>49</v>
      </c>
      <c r="O67" s="18">
        <f t="shared" si="62"/>
        <v>30.9029543251359</v>
      </c>
      <c r="P67" s="86" t="str">
        <f t="shared" si="50"/>
        <v>75</v>
      </c>
      <c r="Q67" s="4" t="str">
        <f t="shared" si="51"/>
        <v>1+0,317142681321422i</v>
      </c>
      <c r="R67" s="4">
        <f t="shared" si="63"/>
        <v>1.04908506819788</v>
      </c>
      <c r="S67" s="4">
        <f t="shared" si="64"/>
        <v>0.307108891457251</v>
      </c>
      <c r="T67" s="4" t="str">
        <f t="shared" si="52"/>
        <v>1+0,00304456974068565i</v>
      </c>
      <c r="U67" s="4">
        <f t="shared" si="65"/>
        <v>1.00000463469171</v>
      </c>
      <c r="V67" s="4">
        <f t="shared" si="66"/>
        <v>0.00304456033362141</v>
      </c>
      <c r="W67" t="str">
        <f t="shared" si="53"/>
        <v>1-0,00159703993094002i</v>
      </c>
      <c r="X67" s="4">
        <f t="shared" si="67"/>
        <v>1.00000127526746</v>
      </c>
      <c r="Y67" s="4">
        <f t="shared" si="68"/>
        <v>-0.00159703857317253</v>
      </c>
      <c r="Z67" t="str">
        <f t="shared" si="54"/>
        <v>0,999999992204142+0,000501154122116454i</v>
      </c>
      <c r="AA67" s="4">
        <f t="shared" si="69"/>
        <v>1.00000011778186</v>
      </c>
      <c r="AB67" s="4">
        <f t="shared" si="70"/>
        <v>0.000501154084067522</v>
      </c>
      <c r="AC67" s="67" t="str">
        <f t="shared" si="71"/>
        <v>68,1667360836454-21,5476034822481i</v>
      </c>
      <c r="AD67" s="68">
        <f t="shared" si="72"/>
        <v>37.0850614641994</v>
      </c>
      <c r="AE67" s="31">
        <f t="shared" si="73"/>
        <v>-17.5418204577175</v>
      </c>
      <c r="AF67" s="32" t="str">
        <f t="shared" si="74"/>
        <v>249,914648392112</v>
      </c>
      <c r="AG67" s="32" t="str">
        <f t="shared" si="55"/>
        <v>1+0,203877437992343i</v>
      </c>
      <c r="AH67" s="32">
        <f t="shared" si="75"/>
        <v>1.0205714133378</v>
      </c>
      <c r="AI67" s="32">
        <f t="shared" si="76"/>
        <v>0.201121070394329</v>
      </c>
      <c r="AJ67" s="32" t="str">
        <f t="shared" si="56"/>
        <v>1+0,00304456974068565i</v>
      </c>
      <c r="AK67" s="32">
        <f t="shared" si="77"/>
        <v>1.00000463469171</v>
      </c>
      <c r="AL67" s="32">
        <f t="shared" si="78"/>
        <v>0.00304456033362141</v>
      </c>
      <c r="AM67" s="32" t="str">
        <f t="shared" si="57"/>
        <v>1-0,000308102634016502i</v>
      </c>
      <c r="AN67" s="32">
        <f t="shared" si="79"/>
        <v>1.00000004746362</v>
      </c>
      <c r="AO67" s="32">
        <f t="shared" si="80"/>
        <v>-0.000308102624267392</v>
      </c>
      <c r="AP67" s="30" t="str">
        <f t="shared" si="81"/>
        <v>240,075337372445-48,2620614938416i</v>
      </c>
      <c r="AQ67" s="32">
        <f t="shared" si="82"/>
        <v>47.7790069294498</v>
      </c>
      <c r="AR67" s="31">
        <f t="shared" si="83"/>
        <v>-11.3666010271866</v>
      </c>
      <c r="AS67" t="str">
        <f t="shared" si="58"/>
        <v>-0,000100699300699301</v>
      </c>
      <c r="AT67" t="str">
        <f t="shared" si="59"/>
        <v>0,0000436297717303613i</v>
      </c>
      <c r="AU67">
        <f t="shared" si="84"/>
        <v>4.36297717303613e-5</v>
      </c>
      <c r="AV67">
        <f t="shared" si="85"/>
        <v>1.5707963267949</v>
      </c>
      <c r="AW67" t="str">
        <f t="shared" si="60"/>
        <v>1+0,00223376428766485i</v>
      </c>
      <c r="AX67">
        <f t="shared" si="86"/>
        <v>1.00000249484833</v>
      </c>
      <c r="AY67">
        <f t="shared" si="87"/>
        <v>0.0022337605724026</v>
      </c>
      <c r="AZ67" t="str">
        <f t="shared" si="61"/>
        <v>1+0,106792943710275i</v>
      </c>
      <c r="BA67">
        <f t="shared" si="88"/>
        <v>1.00568619997806</v>
      </c>
      <c r="BB67">
        <f t="shared" si="89"/>
        <v>0.106389717682225</v>
      </c>
      <c r="BC67" s="30" t="str">
        <f t="shared" si="90"/>
        <v>-0,241325665834784+2,30858003543056i</v>
      </c>
      <c r="BD67" s="32">
        <f t="shared" si="91"/>
        <v>7.31409842275079</v>
      </c>
      <c r="BE67" s="31">
        <f t="shared" si="92"/>
        <v>95.9676967535384</v>
      </c>
      <c r="BF67" s="30" t="str">
        <f t="shared" si="93"/>
        <v>33,2939842373222+162,568355760665i</v>
      </c>
      <c r="BG67" s="68">
        <f t="shared" si="94"/>
        <v>44.3991598869501</v>
      </c>
      <c r="BH67" s="31">
        <f t="shared" si="95"/>
        <v>78.4258762958209</v>
      </c>
      <c r="BI67" s="30" t="str">
        <f t="shared" si="103"/>
        <v>53,480490991489+565,880004981843i</v>
      </c>
      <c r="BJ67" s="68">
        <f t="shared" si="97"/>
        <v>55.0931053522006</v>
      </c>
      <c r="BK67" s="31">
        <f t="shared" si="104"/>
        <v>84.6010957263519</v>
      </c>
      <c r="BL67" s="32">
        <f t="shared" si="99"/>
        <v>44.3991598869501</v>
      </c>
      <c r="BM67" s="31">
        <f t="shared" si="100"/>
        <v>78.4258762958209</v>
      </c>
      <c r="BO67">
        <f t="shared" si="101"/>
        <v>0</v>
      </c>
      <c r="BP67">
        <f t="shared" si="102"/>
        <v>0</v>
      </c>
    </row>
    <row r="68" spans="1:68">
      <c r="A68" t="s">
        <v>344</v>
      </c>
      <c r="B68">
        <f>(B67*2*VOUT/DC_VIN_var_DCM)*(((VOUT/VIN_var)-1)/((2*VOUT/VIN_var)-1))</f>
        <v>249.914648392112</v>
      </c>
      <c r="C68" t="s">
        <v>244</v>
      </c>
      <c r="N68" s="7">
        <v>50</v>
      </c>
      <c r="O68" s="18">
        <f t="shared" si="62"/>
        <v>31.6227766016838</v>
      </c>
      <c r="P68" s="86" t="str">
        <f t="shared" si="50"/>
        <v>75</v>
      </c>
      <c r="Q68" s="4" t="str">
        <f t="shared" si="51"/>
        <v>1+0,324529883349339i</v>
      </c>
      <c r="R68" s="4">
        <f t="shared" si="63"/>
        <v>1.0513418307985</v>
      </c>
      <c r="S68" s="4">
        <f t="shared" si="64"/>
        <v>0.31380663590976</v>
      </c>
      <c r="T68" s="4" t="str">
        <f t="shared" si="52"/>
        <v>1+0,00311548688015366i</v>
      </c>
      <c r="U68" s="4">
        <f t="shared" si="65"/>
        <v>1.00000485311747</v>
      </c>
      <c r="V68" s="4">
        <f t="shared" si="66"/>
        <v>0.00311547680030536</v>
      </c>
      <c r="W68" t="str">
        <f t="shared" si="53"/>
        <v>1-0,00163423976972346i</v>
      </c>
      <c r="X68" s="4">
        <f t="shared" si="67"/>
        <v>1.00000133536892</v>
      </c>
      <c r="Y68" s="4">
        <f t="shared" si="68"/>
        <v>-0.00163423831484949</v>
      </c>
      <c r="Z68" t="str">
        <f t="shared" si="54"/>
        <v>0,999999991836735+0,000512827501214381i</v>
      </c>
      <c r="AA68" s="4">
        <f t="shared" si="69"/>
        <v>1.00000012333275</v>
      </c>
      <c r="AB68" s="4">
        <f t="shared" si="70"/>
        <v>0.000512827460444216</v>
      </c>
      <c r="AC68" s="67" t="str">
        <f t="shared" si="71"/>
        <v>67,8753798127524-21,9549578368837i</v>
      </c>
      <c r="AD68" s="68">
        <f t="shared" si="72"/>
        <v>37.0663990595709</v>
      </c>
      <c r="AE68" s="31">
        <f t="shared" si="73"/>
        <v>-17.9243099562606</v>
      </c>
      <c r="AF68" s="32" t="str">
        <f t="shared" si="74"/>
        <v>249,914648392112</v>
      </c>
      <c r="AG68" s="32" t="str">
        <f t="shared" si="55"/>
        <v>1+0,208626353581718i</v>
      </c>
      <c r="AH68" s="32">
        <f t="shared" si="75"/>
        <v>1.02153069234791</v>
      </c>
      <c r="AI68" s="32">
        <f t="shared" si="76"/>
        <v>0.205676204139014</v>
      </c>
      <c r="AJ68" s="32" t="str">
        <f t="shared" si="56"/>
        <v>1+0,00311548688015366i</v>
      </c>
      <c r="AK68" s="32">
        <f t="shared" si="77"/>
        <v>1.00000485311747</v>
      </c>
      <c r="AL68" s="32">
        <f t="shared" si="78"/>
        <v>0.00311547680030536</v>
      </c>
      <c r="AM68" s="32" t="str">
        <f t="shared" si="57"/>
        <v>1-0,000315279266292328i</v>
      </c>
      <c r="AN68" s="32">
        <f t="shared" si="79"/>
        <v>1.00000004970051</v>
      </c>
      <c r="AO68" s="32">
        <f t="shared" si="80"/>
        <v>-0.000315279255845969</v>
      </c>
      <c r="AP68" s="30" t="str">
        <f t="shared" si="81"/>
        <v>239,630966167161-49,2935217754759i</v>
      </c>
      <c r="AQ68" s="32">
        <f t="shared" si="82"/>
        <v>47.7708484390258</v>
      </c>
      <c r="AR68" s="31">
        <f t="shared" si="83"/>
        <v>-11.6239389423363</v>
      </c>
      <c r="AS68" t="str">
        <f t="shared" si="58"/>
        <v>-0,000100699300699301</v>
      </c>
      <c r="AT68" t="str">
        <f t="shared" si="59"/>
        <v>0,0000446460396664877i</v>
      </c>
      <c r="AU68">
        <f t="shared" si="84"/>
        <v>4.46460396664877e-5</v>
      </c>
      <c r="AV68">
        <f t="shared" si="85"/>
        <v>1.5707963267949</v>
      </c>
      <c r="AW68" t="str">
        <f t="shared" si="60"/>
        <v>1+0,00228579534197445i</v>
      </c>
      <c r="AX68">
        <f t="shared" si="86"/>
        <v>1.00000261242676</v>
      </c>
      <c r="AY68">
        <f t="shared" si="87"/>
        <v>0.00228579136099978</v>
      </c>
      <c r="AZ68" t="str">
        <f t="shared" si="61"/>
        <v>1+0,109280470923757i</v>
      </c>
      <c r="BA68">
        <f t="shared" si="88"/>
        <v>1.00595338924093</v>
      </c>
      <c r="BB68">
        <f t="shared" si="89"/>
        <v>0.108848544432303</v>
      </c>
      <c r="BC68" s="30" t="str">
        <f t="shared" si="90"/>
        <v>-0,241325609085551+2,25605516508694i</v>
      </c>
      <c r="BD68" s="32">
        <f t="shared" si="91"/>
        <v>7.11640474965114</v>
      </c>
      <c r="BE68" s="31">
        <f t="shared" si="92"/>
        <v>96.1055960042805</v>
      </c>
      <c r="BF68" s="30" t="str">
        <f t="shared" si="93"/>
        <v>33,1515286519419+158,428894781231i</v>
      </c>
      <c r="BG68" s="68">
        <f t="shared" si="94"/>
        <v>44.182803809222</v>
      </c>
      <c r="BH68" s="31">
        <f t="shared" si="95"/>
        <v>78.1812860480198</v>
      </c>
      <c r="BI68" s="30" t="str">
        <f t="shared" si="103"/>
        <v>53,3798155408388+552,516468102636i</v>
      </c>
      <c r="BJ68" s="68">
        <f t="shared" si="97"/>
        <v>54.887253188677</v>
      </c>
      <c r="BK68" s="31">
        <f t="shared" si="104"/>
        <v>84.4816570619442</v>
      </c>
      <c r="BL68" s="32">
        <f t="shared" si="99"/>
        <v>44.182803809222</v>
      </c>
      <c r="BM68" s="31">
        <f t="shared" si="100"/>
        <v>78.1812860480198</v>
      </c>
      <c r="BO68">
        <f t="shared" si="101"/>
        <v>0</v>
      </c>
      <c r="BP68">
        <f t="shared" si="102"/>
        <v>0</v>
      </c>
    </row>
    <row r="69" spans="1:68">
      <c r="A69" t="s">
        <v>512</v>
      </c>
      <c r="B69">
        <f>(IOUT_VAR*((2*VOUT)-VIN_var))/(Cout*VOUT*(VOUT-VIN_var))</f>
        <v>952.380952380953</v>
      </c>
      <c r="C69" t="s">
        <v>304</v>
      </c>
      <c r="N69" s="7">
        <v>51</v>
      </c>
      <c r="O69" s="18">
        <f t="shared" si="62"/>
        <v>32.3593656929628</v>
      </c>
      <c r="P69" s="86" t="str">
        <f t="shared" si="50"/>
        <v>75</v>
      </c>
      <c r="Q69" s="4" t="str">
        <f t="shared" si="51"/>
        <v>1+0,332089155417069i</v>
      </c>
      <c r="R69" s="4">
        <f t="shared" si="63"/>
        <v>1.05369977087671</v>
      </c>
      <c r="S69" s="4">
        <f t="shared" si="64"/>
        <v>0.32063037663023</v>
      </c>
      <c r="T69" s="4" t="str">
        <f t="shared" si="52"/>
        <v>1+0,00318805589200387i</v>
      </c>
      <c r="U69" s="4">
        <f t="shared" si="65"/>
        <v>1.00000508183727</v>
      </c>
      <c r="V69" s="4">
        <f t="shared" si="66"/>
        <v>0.00318804509125479</v>
      </c>
      <c r="W69" t="str">
        <f t="shared" si="53"/>
        <v>1-0,00167230610406453i</v>
      </c>
      <c r="X69" s="4">
        <f t="shared" si="67"/>
        <v>1.00000139830288</v>
      </c>
      <c r="Y69" s="4">
        <f t="shared" si="68"/>
        <v>-0.0016723045451391</v>
      </c>
      <c r="Z69" t="str">
        <f t="shared" si="54"/>
        <v>0,999999991452012+0,000524772788241525i</v>
      </c>
      <c r="AA69" s="4">
        <f t="shared" si="69"/>
        <v>1.00000012914524</v>
      </c>
      <c r="AB69" s="4">
        <f t="shared" si="70"/>
        <v>0.000524772744555506</v>
      </c>
      <c r="AC69" s="67" t="str">
        <f t="shared" si="71"/>
        <v>67,5729587672741-22,365923761081i</v>
      </c>
      <c r="AD69" s="68">
        <f t="shared" si="72"/>
        <v>37.0469427194495</v>
      </c>
      <c r="AE69" s="31">
        <f t="shared" si="73"/>
        <v>-18.3139890919394</v>
      </c>
      <c r="AF69" s="32" t="str">
        <f t="shared" si="74"/>
        <v>249,914648392112</v>
      </c>
      <c r="AG69" s="32" t="str">
        <f t="shared" si="55"/>
        <v>1+0,213485885625259i</v>
      </c>
      <c r="AH69" s="32">
        <f t="shared" si="75"/>
        <v>1.02253421623005</v>
      </c>
      <c r="AI69" s="32">
        <f t="shared" si="76"/>
        <v>0.210328493808204</v>
      </c>
      <c r="AJ69" s="32" t="str">
        <f t="shared" si="56"/>
        <v>1+0,00318805589200387i</v>
      </c>
      <c r="AK69" s="32">
        <f t="shared" si="77"/>
        <v>1.00000508183727</v>
      </c>
      <c r="AL69" s="32">
        <f t="shared" si="78"/>
        <v>0.00318804509125479</v>
      </c>
      <c r="AM69" s="32" t="str">
        <f t="shared" si="57"/>
        <v>1-0,000322623063808357i</v>
      </c>
      <c r="AN69" s="32">
        <f t="shared" si="79"/>
        <v>1.00000005204282</v>
      </c>
      <c r="AO69" s="32">
        <f t="shared" si="80"/>
        <v>-0.000322623052614882</v>
      </c>
      <c r="AP69" s="30" t="str">
        <f t="shared" si="81"/>
        <v>239,167437061344-50,3427584760146i</v>
      </c>
      <c r="AQ69" s="32">
        <f t="shared" si="82"/>
        <v>47.7623218534321</v>
      </c>
      <c r="AR69" s="31">
        <f t="shared" si="83"/>
        <v>-11.8867584172157</v>
      </c>
      <c r="AS69" t="str">
        <f t="shared" si="58"/>
        <v>-0,000100699300699301</v>
      </c>
      <c r="AT69" t="str">
        <f t="shared" si="59"/>
        <v>0,0000456859795238054i</v>
      </c>
      <c r="AU69">
        <f t="shared" si="84"/>
        <v>4.56859795238054e-5</v>
      </c>
      <c r="AV69">
        <f t="shared" si="85"/>
        <v>1.5707963267949</v>
      </c>
      <c r="AW69" t="str">
        <f t="shared" si="60"/>
        <v>1+0,00233903835523044i</v>
      </c>
      <c r="AX69">
        <f t="shared" si="86"/>
        <v>1.00000273554647</v>
      </c>
      <c r="AY69">
        <f t="shared" si="87"/>
        <v>0.00233903408953986</v>
      </c>
      <c r="AZ69" t="str">
        <f t="shared" si="61"/>
        <v>1+0,111825940089421i</v>
      </c>
      <c r="BA69">
        <f t="shared" si="88"/>
        <v>1.00623309470365</v>
      </c>
      <c r="BB69">
        <f t="shared" si="89"/>
        <v>0.11136327721338</v>
      </c>
      <c r="BC69" s="30" t="str">
        <f t="shared" si="90"/>
        <v>-0,241325549661838+2,20472648504205i</v>
      </c>
      <c r="BD69" s="32">
        <f t="shared" si="91"/>
        <v>6.91881845722534</v>
      </c>
      <c r="BE69" s="31">
        <f t="shared" si="92"/>
        <v>96.2466289956042</v>
      </c>
      <c r="BF69" s="30" t="str">
        <f t="shared" si="93"/>
        <v>33,0036630616974+154,377360712201i</v>
      </c>
      <c r="BG69" s="68">
        <f t="shared" si="94"/>
        <v>43.9657611766748</v>
      </c>
      <c r="BH69" s="31">
        <f t="shared" si="95"/>
        <v>77.9326399036648</v>
      </c>
      <c r="BI69" s="30" t="str">
        <f t="shared" si="103"/>
        <v>53,2747997321027+539,44777670949i</v>
      </c>
      <c r="BJ69" s="68">
        <f t="shared" si="97"/>
        <v>54.6811403106574</v>
      </c>
      <c r="BK69" s="31">
        <f t="shared" si="104"/>
        <v>84.3598705783885</v>
      </c>
      <c r="BL69" s="32">
        <f t="shared" si="99"/>
        <v>43.9657611766748</v>
      </c>
      <c r="BM69" s="31">
        <f t="shared" si="100"/>
        <v>77.9326399036648</v>
      </c>
      <c r="BO69">
        <f t="shared" si="101"/>
        <v>0</v>
      </c>
      <c r="BP69">
        <f t="shared" si="102"/>
        <v>0</v>
      </c>
    </row>
    <row r="70" spans="1:68">
      <c r="B70">
        <f>B69/(2*PI())</f>
        <v>151.576136277996</v>
      </c>
      <c r="C70" t="s">
        <v>111</v>
      </c>
      <c r="N70" s="7">
        <v>52</v>
      </c>
      <c r="O70" s="18">
        <f t="shared" si="62"/>
        <v>33.1131121482591</v>
      </c>
      <c r="P70" s="86" t="str">
        <f t="shared" si="50"/>
        <v>75</v>
      </c>
      <c r="Q70" s="4" t="str">
        <f t="shared" si="51"/>
        <v>1+0,339824505550721i</v>
      </c>
      <c r="R70" s="4">
        <f t="shared" si="63"/>
        <v>1.05616319504743</v>
      </c>
      <c r="S70" s="4">
        <f t="shared" si="64"/>
        <v>0.327581188893595</v>
      </c>
      <c r="T70" s="4" t="str">
        <f t="shared" si="52"/>
        <v>1+0,00326231525328692i</v>
      </c>
      <c r="U70" s="4">
        <f t="shared" si="65"/>
        <v>1.00000532133625</v>
      </c>
      <c r="V70" s="4">
        <f t="shared" si="66"/>
        <v>0.00326230368007909</v>
      </c>
      <c r="W70" t="str">
        <f t="shared" si="53"/>
        <v>1-0,00171125911723756i</v>
      </c>
      <c r="X70" s="4">
        <f t="shared" si="67"/>
        <v>1.00000146420281</v>
      </c>
      <c r="Y70" s="4">
        <f t="shared" si="68"/>
        <v>-0.001711257446819</v>
      </c>
      <c r="Z70" t="str">
        <f t="shared" si="54"/>
        <v>0,999999991049158+0,000536996316747184i</v>
      </c>
      <c r="AA70" s="4">
        <f t="shared" si="69"/>
        <v>1.00000013523167</v>
      </c>
      <c r="AB70" s="4">
        <f t="shared" si="70"/>
        <v>0.000536996269936772</v>
      </c>
      <c r="AC70" s="67" t="str">
        <f t="shared" si="71"/>
        <v>67,259169676086-22,7802598389318i</v>
      </c>
      <c r="AD70" s="68">
        <f t="shared" si="72"/>
        <v>37.0266624472672</v>
      </c>
      <c r="AE70" s="31">
        <f t="shared" si="73"/>
        <v>-18.710918788367</v>
      </c>
      <c r="AF70" s="32" t="str">
        <f t="shared" si="74"/>
        <v>249,914648392112</v>
      </c>
      <c r="AG70" s="32" t="str">
        <f t="shared" si="55"/>
        <v>1+0,218458610711177i</v>
      </c>
      <c r="AH70" s="32">
        <f t="shared" si="75"/>
        <v>1.02358398023506</v>
      </c>
      <c r="AI70" s="32">
        <f t="shared" si="76"/>
        <v>0.215079600186134</v>
      </c>
      <c r="AJ70" s="32" t="str">
        <f t="shared" si="56"/>
        <v>1+0,00326231525328692i</v>
      </c>
      <c r="AK70" s="32">
        <f t="shared" si="77"/>
        <v>1.00000532133625</v>
      </c>
      <c r="AL70" s="32">
        <f t="shared" si="78"/>
        <v>0.00326230368007909</v>
      </c>
      <c r="AM70" s="32" t="str">
        <f t="shared" si="57"/>
        <v>1-0,000330137920343237i</v>
      </c>
      <c r="AN70" s="32">
        <f t="shared" si="79"/>
        <v>1.00000005449552</v>
      </c>
      <c r="AO70" s="32">
        <f t="shared" si="80"/>
        <v>-0.000330137908349212</v>
      </c>
      <c r="AP70" s="30" t="str">
        <f t="shared" si="81"/>
        <v>238,684007850935-51,409782686905i</v>
      </c>
      <c r="AQ70" s="32">
        <f t="shared" si="82"/>
        <v>47.7534113368308</v>
      </c>
      <c r="AR70" s="31">
        <f t="shared" si="83"/>
        <v>-12.1551526264738</v>
      </c>
      <c r="AS70" t="str">
        <f t="shared" si="58"/>
        <v>-0,000100699300699301</v>
      </c>
      <c r="AT70" t="str">
        <f t="shared" si="59"/>
        <v>0,0000467501426921921i</v>
      </c>
      <c r="AU70">
        <f t="shared" si="84"/>
        <v>4.67501426921921e-5</v>
      </c>
      <c r="AV70">
        <f t="shared" si="85"/>
        <v>1.5707963267949</v>
      </c>
      <c r="AW70" t="str">
        <f t="shared" si="60"/>
        <v>1+0,00239352155758321i</v>
      </c>
      <c r="AX70">
        <f t="shared" si="86"/>
        <v>1.00000286446862</v>
      </c>
      <c r="AY70">
        <f t="shared" si="87"/>
        <v>0.00239351698681411</v>
      </c>
      <c r="AZ70" t="str">
        <f t="shared" si="61"/>
        <v>1+0,114430700848712i</v>
      </c>
      <c r="BA70">
        <f t="shared" si="88"/>
        <v>1.00652589896968</v>
      </c>
      <c r="BB70">
        <f t="shared" si="89"/>
        <v>0.113935122078032</v>
      </c>
      <c r="BC70" s="30" t="str">
        <f t="shared" si="90"/>
        <v>-0,241325487437604+2,15456678014943i</v>
      </c>
      <c r="BD70" s="32">
        <f t="shared" si="91"/>
        <v>6.72134448107825</v>
      </c>
      <c r="BE70" s="31">
        <f t="shared" si="92"/>
        <v>96.3908632118417</v>
      </c>
      <c r="BF70" s="30" t="str">
        <f t="shared" si="93"/>
        <v>32,8502391854047+150,411829954114i</v>
      </c>
      <c r="BG70" s="68">
        <f t="shared" si="94"/>
        <v>43.7480069283454</v>
      </c>
      <c r="BH70" s="31">
        <f t="shared" si="95"/>
        <v>77.6799444234747</v>
      </c>
      <c r="BI70" s="30" t="str">
        <f t="shared" si="103"/>
        <v>53,165275413719+526,667125134529i</v>
      </c>
      <c r="BJ70" s="68">
        <f t="shared" si="97"/>
        <v>54.474755817909</v>
      </c>
      <c r="BK70" s="31">
        <f t="shared" si="104"/>
        <v>84.2357105853679</v>
      </c>
      <c r="BL70" s="32">
        <f t="shared" si="99"/>
        <v>43.7480069283454</v>
      </c>
      <c r="BM70" s="31">
        <f t="shared" si="100"/>
        <v>77.6799444234747</v>
      </c>
      <c r="BO70">
        <f t="shared" si="101"/>
        <v>0</v>
      </c>
      <c r="BP70">
        <f t="shared" si="102"/>
        <v>0</v>
      </c>
    </row>
    <row r="71" spans="1:68">
      <c r="A71" t="s">
        <v>346</v>
      </c>
      <c r="B71">
        <f>1/(Cout*Resr)</f>
        <v>63775.5102040816</v>
      </c>
      <c r="C71" t="s">
        <v>304</v>
      </c>
      <c r="N71" s="7">
        <v>53</v>
      </c>
      <c r="O71" s="18">
        <f t="shared" si="62"/>
        <v>33.8844156139203</v>
      </c>
      <c r="P71" s="86" t="str">
        <f t="shared" si="50"/>
        <v>75</v>
      </c>
      <c r="Q71" s="4" t="str">
        <f t="shared" si="51"/>
        <v>1+0,347740035135326i</v>
      </c>
      <c r="R71" s="4">
        <f t="shared" si="63"/>
        <v>1.05873657348555</v>
      </c>
      <c r="S71" s="4">
        <f t="shared" si="64"/>
        <v>0.334660070657775</v>
      </c>
      <c r="T71" s="4" t="str">
        <f t="shared" si="52"/>
        <v>1+0,00333830433729914i</v>
      </c>
      <c r="U71" s="4">
        <f t="shared" si="65"/>
        <v>1.0000055721224</v>
      </c>
      <c r="V71" s="4">
        <f t="shared" si="66"/>
        <v>0.00333829193638726</v>
      </c>
      <c r="W71" t="str">
        <f t="shared" si="53"/>
        <v>1-0,00175111946264575i</v>
      </c>
      <c r="X71" s="4">
        <f t="shared" si="67"/>
        <v>1.00000153320851</v>
      </c>
      <c r="Y71" s="4">
        <f t="shared" si="68"/>
        <v>-0.00175111767276016</v>
      </c>
      <c r="Z71" t="str">
        <f t="shared" si="54"/>
        <v>0,999999990627317+0,000549504567807973i</v>
      </c>
      <c r="AA71" s="4">
        <f t="shared" si="69"/>
        <v>1.00000014160494</v>
      </c>
      <c r="AB71" s="4">
        <f t="shared" si="70"/>
        <v>0.000549504517649713</v>
      </c>
      <c r="AC71" s="67" t="str">
        <f t="shared" si="71"/>
        <v>66,9337110540027-23,1977052747208i</v>
      </c>
      <c r="AD71" s="68">
        <f t="shared" si="72"/>
        <v>37.0055274376827</v>
      </c>
      <c r="AE71" s="31">
        <f t="shared" si="73"/>
        <v>-19.1151555232675</v>
      </c>
      <c r="AF71" s="32" t="str">
        <f t="shared" si="74"/>
        <v>249,914648392112</v>
      </c>
      <c r="AG71" s="32" t="str">
        <f t="shared" si="55"/>
        <v>1+0,223547165444138i</v>
      </c>
      <c r="AH71" s="32">
        <f t="shared" si="75"/>
        <v>1.02468206541254</v>
      </c>
      <c r="AI71" s="32">
        <f t="shared" si="76"/>
        <v>0.219931184002059</v>
      </c>
      <c r="AJ71" s="32" t="str">
        <f t="shared" si="56"/>
        <v>1+0,00333830433729914i</v>
      </c>
      <c r="AK71" s="32">
        <f t="shared" si="77"/>
        <v>1.0000055721224</v>
      </c>
      <c r="AL71" s="32">
        <f t="shared" si="78"/>
        <v>0.00333829193638726</v>
      </c>
      <c r="AM71" s="32" t="str">
        <f t="shared" si="57"/>
        <v>1-0,000337827820373379i</v>
      </c>
      <c r="AN71" s="32">
        <f t="shared" si="79"/>
        <v>1.00000005706382</v>
      </c>
      <c r="AO71" s="32">
        <f t="shared" si="80"/>
        <v>-0.00033782780752155</v>
      </c>
      <c r="AP71" s="30" t="str">
        <f t="shared" si="81"/>
        <v>238,179915256719-52,4945818876283i</v>
      </c>
      <c r="AQ71" s="32">
        <f t="shared" si="82"/>
        <v>47.7441004429703</v>
      </c>
      <c r="AR71" s="31">
        <f t="shared" si="83"/>
        <v>-12.4292146954687</v>
      </c>
      <c r="AS71" t="str">
        <f t="shared" si="58"/>
        <v>-0,000100699300699301</v>
      </c>
      <c r="AT71" t="str">
        <f t="shared" si="59"/>
        <v>0,0000478390934050456i</v>
      </c>
      <c r="AU71">
        <f t="shared" si="84"/>
        <v>4.78390934050456e-5</v>
      </c>
      <c r="AV71">
        <f t="shared" si="85"/>
        <v>1.5707963267949</v>
      </c>
      <c r="AW71" t="str">
        <f t="shared" si="60"/>
        <v>1+0,00244927383674783i</v>
      </c>
      <c r="AX71">
        <f t="shared" si="86"/>
        <v>1.00000299946667</v>
      </c>
      <c r="AY71">
        <f t="shared" si="87"/>
        <v>0.0024492689390813</v>
      </c>
      <c r="AZ71" t="str">
        <f t="shared" si="61"/>
        <v>1+0,117096134280263i</v>
      </c>
      <c r="BA71">
        <f t="shared" si="88"/>
        <v>1.00683241140886</v>
      </c>
      <c r="BB71">
        <f t="shared" si="89"/>
        <v>0.116565306489372</v>
      </c>
      <c r="BC71" s="30" t="str">
        <f t="shared" si="90"/>
        <v>-0,241325422280866+2,10554945506865i</v>
      </c>
      <c r="BD71" s="32">
        <f t="shared" si="91"/>
        <v>6.52398797758825</v>
      </c>
      <c r="BE71" s="31">
        <f t="shared" si="92"/>
        <v>96.5383673263881</v>
      </c>
      <c r="BF71" s="30" t="str">
        <f t="shared" si="93"/>
        <v>32,6911096150989+146,530434856847i</v>
      </c>
      <c r="BG71" s="68">
        <f t="shared" si="94"/>
        <v>43.5295154152709</v>
      </c>
      <c r="BH71" s="31">
        <f t="shared" si="95"/>
        <v>77.4232118031206</v>
      </c>
      <c r="BI71" s="30" t="str">
        <f t="shared" si="103"/>
        <v>53,0510696594038+514,167867918571i</v>
      </c>
      <c r="BJ71" s="68">
        <f t="shared" si="97"/>
        <v>54.2680884205585</v>
      </c>
      <c r="BK71" s="31">
        <f t="shared" si="104"/>
        <v>84.1091526309194</v>
      </c>
      <c r="BL71" s="32">
        <f t="shared" si="99"/>
        <v>43.5295154152709</v>
      </c>
      <c r="BM71" s="31">
        <f t="shared" si="100"/>
        <v>77.4232118031206</v>
      </c>
      <c r="BO71">
        <f t="shared" si="101"/>
        <v>0</v>
      </c>
      <c r="BP71">
        <f t="shared" si="102"/>
        <v>0</v>
      </c>
    </row>
    <row r="72" spans="1:68">
      <c r="B72">
        <f>B71/(2*PI())</f>
        <v>10150.1876971872</v>
      </c>
      <c r="C72" t="s">
        <v>111</v>
      </c>
      <c r="N72" s="7">
        <v>54</v>
      </c>
      <c r="O72" s="18">
        <f t="shared" si="62"/>
        <v>34.6736850452532</v>
      </c>
      <c r="P72" s="86" t="str">
        <f t="shared" si="50"/>
        <v>75</v>
      </c>
      <c r="Q72" s="4" t="str">
        <f t="shared" si="51"/>
        <v>1+0,355839941089441i</v>
      </c>
      <c r="R72" s="4">
        <f t="shared" si="63"/>
        <v>1.06142454450354</v>
      </c>
      <c r="S72" s="4">
        <f t="shared" si="64"/>
        <v>0.341867936506501</v>
      </c>
      <c r="T72" s="4" t="str">
        <f t="shared" si="52"/>
        <v>1+0,00341606343445864i</v>
      </c>
      <c r="U72" s="4">
        <f t="shared" si="65"/>
        <v>1.00000583472767</v>
      </c>
      <c r="V72" s="4">
        <f t="shared" si="66"/>
        <v>0.00341605014664634</v>
      </c>
      <c r="W72" t="str">
        <f t="shared" si="53"/>
        <v>1-0,00179190827477183i</v>
      </c>
      <c r="X72" s="4">
        <f t="shared" si="67"/>
        <v>1.00000160546634</v>
      </c>
      <c r="Y72" s="4">
        <f t="shared" si="68"/>
        <v>-0.00179190635687503</v>
      </c>
      <c r="Z72" t="str">
        <f t="shared" si="54"/>
        <v>0,999999990185596+0,00056230417346416i</v>
      </c>
      <c r="AA72" s="4">
        <f t="shared" si="69"/>
        <v>1.00000014827858</v>
      </c>
      <c r="AB72" s="4">
        <f t="shared" si="70"/>
        <v>0.000562304119718617</v>
      </c>
      <c r="AC72" s="67" t="str">
        <f t="shared" si="71"/>
        <v>66,5962842424928-23,6179793206217i</v>
      </c>
      <c r="AD72" s="68">
        <f t="shared" si="72"/>
        <v>36.9835060827448</v>
      </c>
      <c r="AE72" s="31">
        <f t="shared" si="73"/>
        <v>-19.5267509810553</v>
      </c>
      <c r="AF72" s="32" t="str">
        <f t="shared" si="74"/>
        <v>249,914648392112</v>
      </c>
      <c r="AG72" s="32" t="str">
        <f t="shared" si="55"/>
        <v>1+0,228754247843212i</v>
      </c>
      <c r="AH72" s="32">
        <f t="shared" si="75"/>
        <v>1.0258306419221</v>
      </c>
      <c r="AI72" s="32">
        <f t="shared" si="76"/>
        <v>0.224884903645271</v>
      </c>
      <c r="AJ72" s="32" t="str">
        <f t="shared" si="56"/>
        <v>1+0,00341606343445864i</v>
      </c>
      <c r="AK72" s="32">
        <f t="shared" si="77"/>
        <v>1.00000583472767</v>
      </c>
      <c r="AL72" s="32">
        <f t="shared" si="78"/>
        <v>0.00341605014664634</v>
      </c>
      <c r="AM72" s="32" t="str">
        <f t="shared" si="57"/>
        <v>1-0,000345696841185558i</v>
      </c>
      <c r="AN72" s="32">
        <f t="shared" si="79"/>
        <v>1.00000005975315</v>
      </c>
      <c r="AO72" s="32">
        <f t="shared" si="80"/>
        <v>-0.000345696827414575</v>
      </c>
      <c r="AP72" s="30" t="str">
        <f t="shared" si="81"/>
        <v>237,654375055792-53,5971182249436i</v>
      </c>
      <c r="AQ72" s="32">
        <f t="shared" si="82"/>
        <v>47.7343720981465</v>
      </c>
      <c r="AR72" s="31">
        <f t="shared" si="83"/>
        <v>-12.7090375682743</v>
      </c>
      <c r="AS72" t="str">
        <f t="shared" si="58"/>
        <v>-0,000100699300699301</v>
      </c>
      <c r="AT72" t="str">
        <f t="shared" si="59"/>
        <v>0,0000489534090384476i</v>
      </c>
      <c r="AU72">
        <f t="shared" si="84"/>
        <v>4.89534090384476e-5</v>
      </c>
      <c r="AV72">
        <f t="shared" si="85"/>
        <v>1.5707963267949</v>
      </c>
      <c r="AW72" t="str">
        <f t="shared" si="60"/>
        <v>1+0,00250632475332064i</v>
      </c>
      <c r="AX72">
        <f t="shared" si="86"/>
        <v>1.00000314082695</v>
      </c>
      <c r="AY72">
        <f t="shared" si="87"/>
        <v>0.00250631950537729</v>
      </c>
      <c r="AZ72" t="str">
        <f t="shared" si="61"/>
        <v>1+0,119823653632159i</v>
      </c>
      <c r="BA72">
        <f t="shared" si="88"/>
        <v>1.00715326935366</v>
      </c>
      <c r="BB72">
        <f t="shared" si="89"/>
        <v>0.119255079365212</v>
      </c>
      <c r="BC72" s="30" t="str">
        <f t="shared" si="90"/>
        <v>-0,241325354053423+2,05764852016416i</v>
      </c>
      <c r="BD72" s="32">
        <f t="shared" si="91"/>
        <v>6.32675433320444</v>
      </c>
      <c r="BE72" s="31">
        <f t="shared" si="92"/>
        <v>96.6892112033549</v>
      </c>
      <c r="BF72" s="30" t="str">
        <f t="shared" si="93"/>
        <v>32,526128324883+142,731362941573i</v>
      </c>
      <c r="BG72" s="68">
        <f t="shared" si="94"/>
        <v>43.3102604159493</v>
      </c>
      <c r="BH72" s="31">
        <f t="shared" si="95"/>
        <v>77.1624602222997</v>
      </c>
      <c r="BI72" s="30" t="str">
        <f t="shared" si="103"/>
        <v>52,9320047979348+501,943516675966i</v>
      </c>
      <c r="BJ72" s="68">
        <f t="shared" si="97"/>
        <v>54.0611264313509</v>
      </c>
      <c r="BK72" s="31">
        <f t="shared" si="104"/>
        <v>83.9801736350806</v>
      </c>
      <c r="BL72" s="32">
        <f t="shared" si="99"/>
        <v>43.3102604159493</v>
      </c>
      <c r="BM72" s="31">
        <f t="shared" si="100"/>
        <v>77.1624602222997</v>
      </c>
      <c r="BO72">
        <f t="shared" si="101"/>
        <v>0</v>
      </c>
      <c r="BP72">
        <f t="shared" si="102"/>
        <v>0</v>
      </c>
    </row>
    <row r="73" spans="1:68">
      <c r="A73" t="s">
        <v>347</v>
      </c>
      <c r="B73">
        <f>2*Fsw/(DC_VIN_var_DCM)</f>
        <v>630208.791248881</v>
      </c>
      <c r="C73" t="s">
        <v>304</v>
      </c>
      <c r="N73" s="7">
        <v>55</v>
      </c>
      <c r="O73" s="18">
        <f t="shared" si="62"/>
        <v>35.4813389233576</v>
      </c>
      <c r="P73" s="86" t="str">
        <f t="shared" si="50"/>
        <v>75</v>
      </c>
      <c r="Q73" s="4" t="str">
        <f t="shared" si="51"/>
        <v>1+0,364128518090423i</v>
      </c>
      <c r="R73" s="4">
        <f t="shared" si="63"/>
        <v>1.06423191912606</v>
      </c>
      <c r="S73" s="4">
        <f t="shared" si="64"/>
        <v>0.349205611422212</v>
      </c>
      <c r="T73" s="4" t="str">
        <f t="shared" si="52"/>
        <v>1+0,00349563377366807i</v>
      </c>
      <c r="U73" s="4">
        <f t="shared" si="65"/>
        <v>1.00000610970908</v>
      </c>
      <c r="V73" s="4">
        <f t="shared" si="66"/>
        <v>0.00349561953552537</v>
      </c>
      <c r="W73" t="str">
        <f t="shared" si="53"/>
        <v>1-0,00183364718038392i</v>
      </c>
      <c r="X73" s="4">
        <f t="shared" si="67"/>
        <v>1.00000168112958</v>
      </c>
      <c r="Y73" s="4">
        <f t="shared" si="68"/>
        <v>-0.00183364512532066</v>
      </c>
      <c r="Z73" t="str">
        <f t="shared" si="54"/>
        <v>0,999999989723058+0,000575401920236099i</v>
      </c>
      <c r="AA73" s="4">
        <f t="shared" si="69"/>
        <v>1.00000015526673</v>
      </c>
      <c r="AB73" s="4">
        <f t="shared" si="70"/>
        <v>0.000575401862646712</v>
      </c>
      <c r="AC73" s="67" t="str">
        <f t="shared" si="71"/>
        <v>66,2465945272921-24,0407807464829i</v>
      </c>
      <c r="AD73" s="68">
        <f t="shared" si="72"/>
        <v>36.9605659809429</v>
      </c>
      <c r="AE73" s="31">
        <f t="shared" si="73"/>
        <v>-19.9457516956682</v>
      </c>
      <c r="AF73" s="32" t="str">
        <f t="shared" si="74"/>
        <v>249,914648392112</v>
      </c>
      <c r="AG73" s="32" t="str">
        <f t="shared" si="55"/>
        <v>1+0,234082618772415i</v>
      </c>
      <c r="AH73" s="32">
        <f t="shared" si="75"/>
        <v>1.02703197243871</v>
      </c>
      <c r="AI73" s="32">
        <f t="shared" si="76"/>
        <v>0.229942412716202</v>
      </c>
      <c r="AJ73" s="32" t="str">
        <f t="shared" si="56"/>
        <v>1+0,00349563377366807i</v>
      </c>
      <c r="AK73" s="32">
        <f t="shared" si="77"/>
        <v>1.00000610970908</v>
      </c>
      <c r="AL73" s="32">
        <f t="shared" si="78"/>
        <v>0.00349561953552537</v>
      </c>
      <c r="AM73" s="32" t="str">
        <f t="shared" si="57"/>
        <v>1-0,000353749155038776i</v>
      </c>
      <c r="AN73" s="32">
        <f t="shared" si="79"/>
        <v>1.00000006256923</v>
      </c>
      <c r="AO73" s="32">
        <f t="shared" si="80"/>
        <v>-0.000353749140282902</v>
      </c>
      <c r="AP73" s="30" t="str">
        <f t="shared" si="81"/>
        <v>237,106582299382-54,7173267230631i</v>
      </c>
      <c r="AQ73" s="32">
        <f t="shared" si="82"/>
        <v>47.7242085843058</v>
      </c>
      <c r="AR73" s="31">
        <f t="shared" si="83"/>
        <v>-12.9947138662692</v>
      </c>
      <c r="AS73" t="str">
        <f t="shared" si="58"/>
        <v>-0,000100699300699301</v>
      </c>
      <c r="AT73" t="str">
        <f t="shared" si="59"/>
        <v>0,0000500936804172967i</v>
      </c>
      <c r="AU73">
        <f t="shared" si="84"/>
        <v>5.00936804172967e-5</v>
      </c>
      <c r="AV73">
        <f t="shared" si="85"/>
        <v>1.5707963267949</v>
      </c>
      <c r="AW73" t="str">
        <f t="shared" si="60"/>
        <v>1+0,00256470455645281i</v>
      </c>
      <c r="AX73">
        <f t="shared" si="86"/>
        <v>1.00000328884932</v>
      </c>
      <c r="AY73">
        <f t="shared" si="87"/>
        <v>0.00256469893318119</v>
      </c>
      <c r="AZ73" t="str">
        <f t="shared" si="61"/>
        <v>1+0,122614705071265i</v>
      </c>
      <c r="BA73">
        <f t="shared" si="88"/>
        <v>1.00748913934579</v>
      </c>
      <c r="BB73">
        <f t="shared" si="89"/>
        <v>0.1220057110935</v>
      </c>
      <c r="BC73" s="30" t="str">
        <f t="shared" si="90"/>
        <v>-0,241325282610563+2,01083857772513i</v>
      </c>
      <c r="BD73" s="32">
        <f t="shared" si="91"/>
        <v>6.12964917407951</v>
      </c>
      <c r="BE73" s="31">
        <f t="shared" si="92"/>
        <v>96.843465897557</v>
      </c>
      <c r="BF73" s="30" t="str">
        <f t="shared" si="93"/>
        <v>32,3551512173732+139,012856126217i</v>
      </c>
      <c r="BG73" s="68">
        <f t="shared" si="94"/>
        <v>43.0902151550224</v>
      </c>
      <c r="BH73" s="31">
        <f t="shared" si="95"/>
        <v>76.8977142018888</v>
      </c>
      <c r="BI73" s="30" t="str">
        <f t="shared" si="103"/>
        <v>52,8078984625024+489,987737055294i</v>
      </c>
      <c r="BJ73" s="68">
        <f t="shared" si="97"/>
        <v>53.8538577583853</v>
      </c>
      <c r="BK73" s="31">
        <f t="shared" si="104"/>
        <v>83.8487520312878</v>
      </c>
      <c r="BL73" s="32">
        <f t="shared" si="99"/>
        <v>43.0902151550224</v>
      </c>
      <c r="BM73" s="31">
        <f t="shared" si="100"/>
        <v>76.8977142018888</v>
      </c>
      <c r="BO73">
        <f t="shared" si="101"/>
        <v>0</v>
      </c>
      <c r="BP73">
        <f t="shared" si="102"/>
        <v>0</v>
      </c>
    </row>
    <row r="74" spans="1:68">
      <c r="B74">
        <f>B73/(2*PI())</f>
        <v>100300.844307228</v>
      </c>
      <c r="C74" t="s">
        <v>111</v>
      </c>
      <c r="N74" s="7">
        <v>56</v>
      </c>
      <c r="O74" s="18">
        <f t="shared" si="62"/>
        <v>36.3078054770102</v>
      </c>
      <c r="P74" s="86" t="str">
        <f t="shared" si="50"/>
        <v>75</v>
      </c>
      <c r="Q74" s="4" t="str">
        <f t="shared" si="51"/>
        <v>1+0,372610160851505i</v>
      </c>
      <c r="R74" s="4">
        <f t="shared" si="63"/>
        <v>1.06716368564986</v>
      </c>
      <c r="S74" s="4">
        <f t="shared" si="64"/>
        <v>0.356673824403084</v>
      </c>
      <c r="T74" s="4" t="str">
        <f t="shared" si="52"/>
        <v>1+0,00357705754417445i</v>
      </c>
      <c r="U74" s="4">
        <f t="shared" si="65"/>
        <v>1.00000639764987</v>
      </c>
      <c r="V74" s="4">
        <f t="shared" si="66"/>
        <v>0.00357704228773495</v>
      </c>
      <c r="W74" t="str">
        <f t="shared" si="53"/>
        <v>1-0,00187635831000222i</v>
      </c>
      <c r="X74" s="4">
        <f t="shared" si="67"/>
        <v>1.0000017603587</v>
      </c>
      <c r="Y74" s="4">
        <f t="shared" si="68"/>
        <v>-0.00187635610796248</v>
      </c>
      <c r="Z74" t="str">
        <f t="shared" si="54"/>
        <v>0,99999998923872+0,000588804752722489i</v>
      </c>
      <c r="AA74" s="4">
        <f t="shared" si="69"/>
        <v>1.00000016258423</v>
      </c>
      <c r="AB74" s="4">
        <f t="shared" si="70"/>
        <v>0.00058880469101435</v>
      </c>
      <c r="AC74" s="67" t="str">
        <f t="shared" si="71"/>
        <v>65,8843523333779-24,4657873593147i</v>
      </c>
      <c r="AD74" s="68">
        <f t="shared" si="72"/>
        <v>36.9366739493506</v>
      </c>
      <c r="AE74" s="31">
        <f t="shared" si="73"/>
        <v>-20.3721986844623</v>
      </c>
      <c r="AF74" s="32" t="str">
        <f t="shared" si="74"/>
        <v>249,914648392112</v>
      </c>
      <c r="AG74" s="32" t="str">
        <f t="shared" si="55"/>
        <v>1+0,239535103404539i</v>
      </c>
      <c r="AH74" s="32">
        <f t="shared" si="75"/>
        <v>1.02828841565148</v>
      </c>
      <c r="AI74" s="32">
        <f t="shared" si="76"/>
        <v>0.235105357407169</v>
      </c>
      <c r="AJ74" s="32" t="str">
        <f t="shared" si="56"/>
        <v>1+0,00357705754417445i</v>
      </c>
      <c r="AK74" s="32">
        <f t="shared" si="77"/>
        <v>1.00000639764987</v>
      </c>
      <c r="AL74" s="32">
        <f t="shared" si="78"/>
        <v>0.00357704228773495</v>
      </c>
      <c r="AM74" s="32" t="str">
        <f t="shared" si="57"/>
        <v>1-0,000361989031376417i</v>
      </c>
      <c r="AN74" s="32">
        <f t="shared" si="79"/>
        <v>1.00000006551803</v>
      </c>
      <c r="AO74" s="32">
        <f t="shared" si="80"/>
        <v>-0.000361989015565213</v>
      </c>
      <c r="AP74" s="30" t="str">
        <f t="shared" si="81"/>
        <v>236,5357116253-55,8551134261i</v>
      </c>
      <c r="AQ74" s="32">
        <f t="shared" si="82"/>
        <v>47.7135915223634</v>
      </c>
      <c r="AR74" s="31">
        <f t="shared" si="83"/>
        <v>-13.2863357369405</v>
      </c>
      <c r="AS74" t="str">
        <f t="shared" si="58"/>
        <v>-0,000100699300699301</v>
      </c>
      <c r="AT74" t="str">
        <f t="shared" si="59"/>
        <v>0,0000512605121285714i</v>
      </c>
      <c r="AU74">
        <f t="shared" si="84"/>
        <v>5.12605121285714e-5</v>
      </c>
      <c r="AV74">
        <f t="shared" si="85"/>
        <v>1.5707963267949</v>
      </c>
      <c r="AW74" t="str">
        <f t="shared" si="60"/>
        <v>1+0,00262444419988867i</v>
      </c>
      <c r="AX74">
        <f t="shared" si="86"/>
        <v>1.00000344384775</v>
      </c>
      <c r="AY74">
        <f t="shared" si="87"/>
        <v>0.0026244381744457</v>
      </c>
      <c r="AZ74" t="str">
        <f t="shared" si="61"/>
        <v>1+0,125470768449997i</v>
      </c>
      <c r="BA74">
        <f t="shared" si="88"/>
        <v>1.00784071843493</v>
      </c>
      <c r="BB74">
        <f t="shared" si="89"/>
        <v>0.124818493516557</v>
      </c>
      <c r="BC74" s="30" t="str">
        <f t="shared" si="90"/>
        <v>-0,241325207800747+1,96509480849933i</v>
      </c>
      <c r="BD74" s="32">
        <f t="shared" si="91"/>
        <v>5.9326783760462</v>
      </c>
      <c r="BE74" s="31">
        <f t="shared" si="92"/>
        <v>97.001203652691</v>
      </c>
      <c r="BF74" s="30" t="str">
        <f t="shared" si="93"/>
        <v>32,1780367079678+135,373209950157i</v>
      </c>
      <c r="BG74" s="68">
        <f t="shared" si="94"/>
        <v>42.8693523253968</v>
      </c>
      <c r="BH74" s="31">
        <f t="shared" si="95"/>
        <v>76.6290049682286</v>
      </c>
      <c r="BI74" s="30" t="str">
        <f t="shared" si="103"/>
        <v>52,6785636614972+478,29434579386i</v>
      </c>
      <c r="BJ74" s="68">
        <f t="shared" si="97"/>
        <v>53.6462698984096</v>
      </c>
      <c r="BK74" s="31">
        <f t="shared" si="104"/>
        <v>83.7148679157504</v>
      </c>
      <c r="BL74" s="32">
        <f t="shared" si="99"/>
        <v>42.8693523253968</v>
      </c>
      <c r="BM74" s="31">
        <f t="shared" si="100"/>
        <v>76.6290049682286</v>
      </c>
      <c r="BO74">
        <f t="shared" si="101"/>
        <v>0</v>
      </c>
      <c r="BP74">
        <f t="shared" si="102"/>
        <v>0</v>
      </c>
    </row>
    <row r="75" spans="1:68">
      <c r="N75" s="7">
        <v>57</v>
      </c>
      <c r="O75" s="18">
        <f t="shared" si="62"/>
        <v>37.1535229097173</v>
      </c>
      <c r="P75" s="86" t="str">
        <f t="shared" si="50"/>
        <v>75</v>
      </c>
      <c r="Q75" s="4" t="str">
        <f t="shared" si="51"/>
        <v>1+0,38128936645195i</v>
      </c>
      <c r="R75" s="4">
        <f t="shared" si="63"/>
        <v>1.07022501417661</v>
      </c>
      <c r="S75" s="4">
        <f t="shared" si="64"/>
        <v>0.364273201940809</v>
      </c>
      <c r="T75" s="4" t="str">
        <f t="shared" si="52"/>
        <v>1+0,00366037791793872i</v>
      </c>
      <c r="U75" s="4">
        <f t="shared" si="65"/>
        <v>1.00000669916081</v>
      </c>
      <c r="V75" s="4">
        <f t="shared" si="66"/>
        <v>0.00366036157037518</v>
      </c>
      <c r="W75" t="str">
        <f t="shared" si="53"/>
        <v>1-0,00192006430963303i</v>
      </c>
      <c r="X75" s="4">
        <f t="shared" si="67"/>
        <v>1.00000184332178</v>
      </c>
      <c r="Y75" s="4">
        <f t="shared" si="68"/>
        <v>-0.00192006195010517</v>
      </c>
      <c r="Z75" t="str">
        <f t="shared" si="54"/>
        <v>0,999999988731557+0,000602519777282525i</v>
      </c>
      <c r="AA75" s="4">
        <f t="shared" si="69"/>
        <v>1.00000017024658</v>
      </c>
      <c r="AB75" s="4">
        <f t="shared" si="70"/>
        <v>0.000602519711161063</v>
      </c>
      <c r="AC75" s="67" t="str">
        <f t="shared" si="71"/>
        <v>65,5092744971418-24,8926555805373i</v>
      </c>
      <c r="AD75" s="68">
        <f t="shared" si="72"/>
        <v>36.9117960390702</v>
      </c>
      <c r="AE75" s="31">
        <f t="shared" si="73"/>
        <v>-20.8061270741184</v>
      </c>
      <c r="AF75" s="32" t="str">
        <f t="shared" si="74"/>
        <v>249,914648392112</v>
      </c>
      <c r="AG75" s="32" t="str">
        <f t="shared" si="55"/>
        <v>1+0,245114592719111i</v>
      </c>
      <c r="AH75" s="32">
        <f t="shared" si="75"/>
        <v>1.02960242985526</v>
      </c>
      <c r="AI75" s="32">
        <f t="shared" si="76"/>
        <v>0.240375373706584</v>
      </c>
      <c r="AJ75" s="32" t="str">
        <f t="shared" si="56"/>
        <v>1+0,00366037791793872i</v>
      </c>
      <c r="AK75" s="32">
        <f t="shared" si="77"/>
        <v>1.00000669916081</v>
      </c>
      <c r="AL75" s="32">
        <f t="shared" si="78"/>
        <v>0.00366036157037518</v>
      </c>
      <c r="AM75" s="32" t="str">
        <f t="shared" si="57"/>
        <v>1-0,000370420839089986i</v>
      </c>
      <c r="AN75" s="32">
        <f t="shared" si="79"/>
        <v>1.0000000686058</v>
      </c>
      <c r="AO75" s="32">
        <f t="shared" si="80"/>
        <v>-0.000370420822147976</v>
      </c>
      <c r="AP75" s="30" t="str">
        <f t="shared" si="81"/>
        <v>235,940917673707-57,0103534747784i</v>
      </c>
      <c r="AQ75" s="32">
        <f t="shared" si="82"/>
        <v>47.702501855816</v>
      </c>
      <c r="AR75" s="31">
        <f t="shared" si="83"/>
        <v>-13.5839946925457</v>
      </c>
      <c r="AS75" t="str">
        <f t="shared" si="58"/>
        <v>-0,000100699300699301</v>
      </c>
      <c r="AT75" t="str">
        <f t="shared" si="59"/>
        <v>0,0000524545228418897i</v>
      </c>
      <c r="AU75">
        <f t="shared" si="84"/>
        <v>5.24545228418897e-5</v>
      </c>
      <c r="AV75">
        <f t="shared" si="85"/>
        <v>1.5707963267949</v>
      </c>
      <c r="AW75" t="str">
        <f t="shared" si="60"/>
        <v>1+0,00268557535837795i</v>
      </c>
      <c r="AX75">
        <f t="shared" si="86"/>
        <v>1.000003606151</v>
      </c>
      <c r="AY75">
        <f t="shared" si="87"/>
        <v>0.00268556890200074</v>
      </c>
      <c r="AZ75" t="str">
        <f t="shared" si="61"/>
        <v>1+0,128393358090963i</v>
      </c>
      <c r="BA75">
        <f t="shared" si="88"/>
        <v>1.00820873553142</v>
      </c>
      <c r="BB75">
        <f t="shared" si="89"/>
        <v>0.127694739881487</v>
      </c>
      <c r="BC75" s="30" t="str">
        <f t="shared" si="90"/>
        <v>-0,241325129465305+1,92039295853359i</v>
      </c>
      <c r="BD75" s="32">
        <f t="shared" si="91"/>
        <v>5.73584807494256</v>
      </c>
      <c r="BE75" s="31">
        <f t="shared" si="92"/>
        <v>97.1624978975539</v>
      </c>
      <c r="BF75" s="30" t="str">
        <f t="shared" si="93"/>
        <v>31,9946463468648+131,810772793664i</v>
      </c>
      <c r="BG75" s="68">
        <f t="shared" si="94"/>
        <v>42.6476441140127</v>
      </c>
      <c r="BH75" s="31">
        <f t="shared" si="95"/>
        <v>76.3563708234355</v>
      </c>
      <c r="BI75" s="30" t="str">
        <f t="shared" si="103"/>
        <v>52,5438088727052+466,857307863704i</v>
      </c>
      <c r="BJ75" s="68">
        <f t="shared" si="97"/>
        <v>53.4383499307586</v>
      </c>
      <c r="BK75" s="31">
        <f t="shared" si="104"/>
        <v>83.5785032050082</v>
      </c>
      <c r="BL75" s="32">
        <f t="shared" si="99"/>
        <v>42.6476441140127</v>
      </c>
      <c r="BM75" s="31">
        <f t="shared" si="100"/>
        <v>76.3563708234355</v>
      </c>
      <c r="BO75">
        <f t="shared" si="101"/>
        <v>0</v>
      </c>
      <c r="BP75">
        <f t="shared" si="102"/>
        <v>0</v>
      </c>
    </row>
    <row r="76" spans="1:68">
      <c r="N76" s="7">
        <v>58</v>
      </c>
      <c r="O76" s="18">
        <f t="shared" si="62"/>
        <v>38.0189396320561</v>
      </c>
      <c r="P76" s="86" t="str">
        <f t="shared" si="50"/>
        <v>75</v>
      </c>
      <c r="Q76" s="4" t="str">
        <f t="shared" si="51"/>
        <v>1+0,390170736721449i</v>
      </c>
      <c r="R76" s="4">
        <f t="shared" si="63"/>
        <v>1.0734212611057</v>
      </c>
      <c r="S76" s="4">
        <f t="shared" si="64"/>
        <v>0.372004261378126</v>
      </c>
      <c r="T76" s="4" t="str">
        <f t="shared" si="52"/>
        <v>1+0,00374563907252591i</v>
      </c>
      <c r="U76" s="4">
        <f t="shared" si="65"/>
        <v>1.00000701488143</v>
      </c>
      <c r="V76" s="4">
        <f t="shared" si="66"/>
        <v>0.00374562155580262</v>
      </c>
      <c r="W76" t="str">
        <f t="shared" si="53"/>
        <v>1-0,00196478835277587i</v>
      </c>
      <c r="X76" s="4">
        <f t="shared" si="67"/>
        <v>1.00000193019477</v>
      </c>
      <c r="Y76" s="4">
        <f t="shared" si="68"/>
        <v>-0.00196478582449648</v>
      </c>
      <c r="Z76" t="str">
        <f t="shared" si="54"/>
        <v>0,999999988200492+0,000616554265803769i</v>
      </c>
      <c r="AA76" s="4">
        <f t="shared" si="69"/>
        <v>1.00000017827006</v>
      </c>
      <c r="AB76" s="4">
        <f t="shared" si="70"/>
        <v>0.000616554194953347</v>
      </c>
      <c r="AC76" s="67" t="str">
        <f t="shared" si="71"/>
        <v>65,1210856149024-25,3210200894404i</v>
      </c>
      <c r="AD76" s="68">
        <f t="shared" si="72"/>
        <v>36.8858975541821</v>
      </c>
      <c r="AE76" s="31">
        <f t="shared" si="73"/>
        <v>-21.2475657196501</v>
      </c>
      <c r="AF76" s="32" t="str">
        <f t="shared" si="74"/>
        <v>249,914648392112</v>
      </c>
      <c r="AG76" s="32" t="str">
        <f t="shared" si="55"/>
        <v>1+0,250824045035217i</v>
      </c>
      <c r="AH76" s="32">
        <f t="shared" si="75"/>
        <v>1.03097657663394</v>
      </c>
      <c r="AI76" s="32">
        <f t="shared" si="76"/>
        <v>0.245754084420549</v>
      </c>
      <c r="AJ76" s="32" t="str">
        <f t="shared" si="56"/>
        <v>1+0,00374563907252591i</v>
      </c>
      <c r="AK76" s="32">
        <f t="shared" si="77"/>
        <v>1.00000701488143</v>
      </c>
      <c r="AL76" s="32">
        <f t="shared" si="78"/>
        <v>0.00374562155580262</v>
      </c>
      <c r="AM76" s="32" t="str">
        <f t="shared" si="57"/>
        <v>1-0,000379049048835539i</v>
      </c>
      <c r="AN76" s="32">
        <f t="shared" si="79"/>
        <v>1.00000007183909</v>
      </c>
      <c r="AO76" s="32">
        <f t="shared" si="80"/>
        <v>-0.000379049030681848</v>
      </c>
      <c r="AP76" s="30" t="str">
        <f t="shared" si="81"/>
        <v>235,321335615236-58,1828891200524i</v>
      </c>
      <c r="AQ76" s="32">
        <f t="shared" si="82"/>
        <v>47.6909198347387</v>
      </c>
      <c r="AR76" s="31">
        <f t="shared" si="83"/>
        <v>-13.8877814382851</v>
      </c>
      <c r="AS76" t="str">
        <f t="shared" si="58"/>
        <v>-0,000100699300699301</v>
      </c>
      <c r="AT76" t="str">
        <f t="shared" si="59"/>
        <v>0,0000536763456375364i</v>
      </c>
      <c r="AU76">
        <f t="shared" si="84"/>
        <v>5.36763456375364e-5</v>
      </c>
      <c r="AV76">
        <f t="shared" si="85"/>
        <v>1.5707963267949</v>
      </c>
      <c r="AW76" t="str">
        <f t="shared" si="60"/>
        <v>1+0,00274813044447003i</v>
      </c>
      <c r="AX76">
        <f t="shared" si="86"/>
        <v>1.00000377610334</v>
      </c>
      <c r="AY76">
        <f t="shared" si="87"/>
        <v>0.00274812352633862</v>
      </c>
      <c r="AZ76" t="str">
        <f t="shared" si="61"/>
        <v>1+0,131384023589875i</v>
      </c>
      <c r="BA76">
        <f t="shared" si="88"/>
        <v>1.00859395281484</v>
      </c>
      <c r="BB76">
        <f t="shared" si="89"/>
        <v>0.130635784753975</v>
      </c>
      <c r="BC76" s="30" t="str">
        <f t="shared" si="90"/>
        <v>-0,241325047438079+1,87670932631404i</v>
      </c>
      <c r="BD76" s="32">
        <f t="shared" si="91"/>
        <v>5.53916467729213</v>
      </c>
      <c r="BE76" s="31">
        <f t="shared" si="92"/>
        <v>97.3274232401424</v>
      </c>
      <c r="BF76" s="30" t="str">
        <f t="shared" si="93"/>
        <v>31,8048454784024+128,323945087447i</v>
      </c>
      <c r="BG76" s="68">
        <f t="shared" si="94"/>
        <v>42.4250622314742</v>
      </c>
      <c r="BH76" s="31">
        <f t="shared" si="95"/>
        <v>76.0798575204923</v>
      </c>
      <c r="BI76" s="30" t="str">
        <f t="shared" si="103"/>
        <v>52,4034381629591+455,670733706771i</v>
      </c>
      <c r="BJ76" s="68">
        <f t="shared" si="97"/>
        <v>53.2300845120308</v>
      </c>
      <c r="BK76" s="31">
        <f t="shared" si="104"/>
        <v>83.4396418018574</v>
      </c>
      <c r="BL76" s="32">
        <f t="shared" si="99"/>
        <v>42.4250622314742</v>
      </c>
      <c r="BM76" s="31">
        <f t="shared" si="100"/>
        <v>76.0798575204923</v>
      </c>
      <c r="BO76">
        <f t="shared" si="101"/>
        <v>0</v>
      </c>
      <c r="BP76">
        <f t="shared" si="102"/>
        <v>0</v>
      </c>
    </row>
    <row r="77" spans="1:68">
      <c r="A77" s="30" t="str">
        <f>"Crossover Frequency = "&amp;B77</f>
        <v>Crossover Frequency = 1,8 kHz</v>
      </c>
      <c r="B77" s="32" t="str">
        <f>ROUND(D77,1)&amp;" kHz"</f>
        <v>1,8 kHz</v>
      </c>
      <c r="C77" s="91"/>
      <c r="D77" s="92">
        <f>BP12</f>
        <v>1.81970085860998</v>
      </c>
      <c r="N77" s="7">
        <v>59</v>
      </c>
      <c r="O77" s="18">
        <f t="shared" si="62"/>
        <v>38.9045144994281</v>
      </c>
      <c r="P77" s="86" t="str">
        <f t="shared" si="50"/>
        <v>75</v>
      </c>
      <c r="Q77" s="4" t="str">
        <f t="shared" si="51"/>
        <v>1+0,399258980680078i</v>
      </c>
      <c r="R77" s="4">
        <f t="shared" si="63"/>
        <v>1.07675797357331</v>
      </c>
      <c r="S77" s="4">
        <f t="shared" si="64"/>
        <v>0.37986740416789</v>
      </c>
      <c r="T77" s="4" t="str">
        <f t="shared" si="52"/>
        <v>1+0,00383288621452875i</v>
      </c>
      <c r="U77" s="4">
        <f t="shared" si="65"/>
        <v>1.00000734548139</v>
      </c>
      <c r="V77" s="4">
        <f t="shared" si="66"/>
        <v>0.00383286744502902</v>
      </c>
      <c r="W77" t="str">
        <f t="shared" si="53"/>
        <v>1-0,00201055415271039i</v>
      </c>
      <c r="X77" s="4">
        <f t="shared" si="67"/>
        <v>1.00000202116196</v>
      </c>
      <c r="Y77" s="4">
        <f t="shared" si="68"/>
        <v>-0.00201055144361051</v>
      </c>
      <c r="Z77" t="str">
        <f t="shared" si="54"/>
        <v>0,999999987644398+0,000630915659557802i</v>
      </c>
      <c r="AA77" s="4">
        <f t="shared" si="69"/>
        <v>1.00000018667167</v>
      </c>
      <c r="AB77" s="4">
        <f t="shared" si="70"/>
        <v>0.000630915583640208</v>
      </c>
      <c r="AC77" s="67" t="str">
        <f t="shared" si="71"/>
        <v>64,719519466111-25,7504935416719i</v>
      </c>
      <c r="AD77" s="68">
        <f t="shared" si="72"/>
        <v>36.8589430744032</v>
      </c>
      <c r="AE77" s="31">
        <f t="shared" si="73"/>
        <v>-21.6965368177615</v>
      </c>
      <c r="AF77" s="32" t="str">
        <f t="shared" si="74"/>
        <v>249,914648392112</v>
      </c>
      <c r="AG77" s="32" t="str">
        <f t="shared" si="55"/>
        <v>1+0,25666648758005i</v>
      </c>
      <c r="AH77" s="32">
        <f t="shared" si="75"/>
        <v>1.03241352463375</v>
      </c>
      <c r="AI77" s="32">
        <f t="shared" si="76"/>
        <v>0.251243096006145</v>
      </c>
      <c r="AJ77" s="32" t="str">
        <f t="shared" si="56"/>
        <v>1+0,00383288621452875i</v>
      </c>
      <c r="AK77" s="32">
        <f t="shared" si="77"/>
        <v>1.00000734548139</v>
      </c>
      <c r="AL77" s="32">
        <f t="shared" si="78"/>
        <v>0.00383286744502902</v>
      </c>
      <c r="AM77" s="32" t="str">
        <f t="shared" si="57"/>
        <v>1-0,000387878235404092i</v>
      </c>
      <c r="AN77" s="32">
        <f t="shared" si="79"/>
        <v>1.00000007522476</v>
      </c>
      <c r="AO77" s="32">
        <f t="shared" si="80"/>
        <v>-0.000387878215952062</v>
      </c>
      <c r="AP77" s="30" t="str">
        <f t="shared" si="81"/>
        <v>234,676081800883-59,3725276770702i</v>
      </c>
      <c r="AQ77" s="32">
        <f t="shared" si="82"/>
        <v>47.6788250002575</v>
      </c>
      <c r="AR77" s="31">
        <f t="shared" si="83"/>
        <v>-14.1977856896581</v>
      </c>
      <c r="AS77" t="str">
        <f t="shared" si="58"/>
        <v>-0,000100699300699301</v>
      </c>
      <c r="AT77" t="str">
        <f t="shared" si="59"/>
        <v>0,0000549266283421307i</v>
      </c>
      <c r="AU77">
        <f t="shared" si="84"/>
        <v>5.49266283421307e-5</v>
      </c>
      <c r="AV77">
        <f t="shared" si="85"/>
        <v>1.5707963267949</v>
      </c>
      <c r="AW77" t="str">
        <f t="shared" si="60"/>
        <v>1+0,00281214262569958i</v>
      </c>
      <c r="AX77">
        <f t="shared" si="86"/>
        <v>1.00000395406526</v>
      </c>
      <c r="AY77">
        <f t="shared" si="87"/>
        <v>0.0028121352127898</v>
      </c>
      <c r="AZ77" t="str">
        <f t="shared" si="61"/>
        <v>1+0,134444350637169i</v>
      </c>
      <c r="BA77">
        <f t="shared" si="88"/>
        <v>1.00899716720031</v>
      </c>
      <c r="BB77">
        <f t="shared" si="89"/>
        <v>0.133642983892529</v>
      </c>
      <c r="BC77" s="30" t="str">
        <f t="shared" si="90"/>
        <v>-0,241324961545091+1,83402075019923i</v>
      </c>
      <c r="BD77" s="32">
        <f t="shared" si="91"/>
        <v>5.34263487134406</v>
      </c>
      <c r="BE77" s="31">
        <f t="shared" si="92"/>
        <v>97.4960554594638</v>
      </c>
      <c r="BF77" s="30" t="str">
        <f t="shared" si="93"/>
        <v>31,6085039369215+124,911178507482i</v>
      </c>
      <c r="BG77" s="68">
        <f t="shared" si="94"/>
        <v>42.2015779457472</v>
      </c>
      <c r="BH77" s="31">
        <f t="shared" si="95"/>
        <v>75.7995186417023</v>
      </c>
      <c r="BI77" s="30" t="str">
        <f t="shared" si="103"/>
        <v>52,2572513353741+444,728876556775i</v>
      </c>
      <c r="BJ77" s="68">
        <f t="shared" si="97"/>
        <v>53.0214598716016</v>
      </c>
      <c r="BK77" s="31">
        <f t="shared" si="104"/>
        <v>83.2982697698057</v>
      </c>
      <c r="BL77" s="32">
        <f t="shared" si="99"/>
        <v>42.2015779457472</v>
      </c>
      <c r="BM77" s="31">
        <f t="shared" si="100"/>
        <v>75.7995186417023</v>
      </c>
      <c r="BO77">
        <f t="shared" si="101"/>
        <v>0</v>
      </c>
      <c r="BP77">
        <f t="shared" si="102"/>
        <v>0</v>
      </c>
    </row>
    <row r="78" spans="1:68">
      <c r="A78" s="30" t="str">
        <f>"Phase Margin = "&amp;B78</f>
        <v>Phase Margin = 80°</v>
      </c>
      <c r="B78" s="93" t="str">
        <f>ROUND(D78,0)&amp;"°"</f>
        <v>80°</v>
      </c>
      <c r="C78" s="94"/>
      <c r="D78" s="18">
        <f>BP14</f>
        <v>79.6373888759647</v>
      </c>
      <c r="N78" s="7">
        <v>60</v>
      </c>
      <c r="O78" s="18">
        <f t="shared" si="62"/>
        <v>39.8107170553498</v>
      </c>
      <c r="P78" s="86" t="str">
        <f t="shared" si="50"/>
        <v>75</v>
      </c>
      <c r="Q78" s="4" t="str">
        <f t="shared" si="51"/>
        <v>1+0,408558917035081i</v>
      </c>
      <c r="R78" s="4">
        <f t="shared" si="63"/>
        <v>1.08024089382363</v>
      </c>
      <c r="S78" s="4">
        <f t="shared" si="64"/>
        <v>0.387862909058164</v>
      </c>
      <c r="T78" s="4" t="str">
        <f t="shared" si="52"/>
        <v>1+0,00392216560353678i</v>
      </c>
      <c r="U78" s="4">
        <f t="shared" si="65"/>
        <v>1.00000769166193</v>
      </c>
      <c r="V78" s="4">
        <f t="shared" si="66"/>
        <v>0.00392214549166383</v>
      </c>
      <c r="W78" t="str">
        <f t="shared" si="53"/>
        <v>1-0,00205738597506952i</v>
      </c>
      <c r="X78" s="4">
        <f t="shared" si="67"/>
        <v>1.00000211641629</v>
      </c>
      <c r="Y78" s="4">
        <f t="shared" si="68"/>
        <v>-0.00205738307221703</v>
      </c>
      <c r="Z78" t="str">
        <f t="shared" si="54"/>
        <v>0,999999987062096+0,00064561157314569i</v>
      </c>
      <c r="AA78" s="4">
        <f t="shared" si="69"/>
        <v>1.00000019546923</v>
      </c>
      <c r="AB78" s="4">
        <f t="shared" si="70"/>
        <v>0.000645611491798524</v>
      </c>
      <c r="AC78" s="67" t="str">
        <f t="shared" si="71"/>
        <v>64,304320508743-26,1806663718632i</v>
      </c>
      <c r="AD78" s="68">
        <f t="shared" si="72"/>
        <v>36.830896481649</v>
      </c>
      <c r="AE78" s="31">
        <f t="shared" si="73"/>
        <v>-22.1530555159555</v>
      </c>
      <c r="AF78" s="32" t="str">
        <f t="shared" si="74"/>
        <v>249,914648392112</v>
      </c>
      <c r="AG78" s="32" t="str">
        <f t="shared" si="55"/>
        <v>1+0,262645018093981i</v>
      </c>
      <c r="AH78" s="32">
        <f t="shared" si="75"/>
        <v>1.03391605342484</v>
      </c>
      <c r="AI78" s="32">
        <f t="shared" si="76"/>
        <v>0.256843995211009</v>
      </c>
      <c r="AJ78" s="32" t="str">
        <f t="shared" si="56"/>
        <v>1+0,00392216560353678i</v>
      </c>
      <c r="AK78" s="32">
        <f t="shared" si="77"/>
        <v>1.00000769166193</v>
      </c>
      <c r="AL78" s="32">
        <f t="shared" si="78"/>
        <v>0.00392214549166383</v>
      </c>
      <c r="AM78" s="32" t="str">
        <f t="shared" si="57"/>
        <v>1-0,000396913080147233i</v>
      </c>
      <c r="AN78" s="32">
        <f t="shared" si="79"/>
        <v>1.00000007876999</v>
      </c>
      <c r="AO78" s="32">
        <f t="shared" si="80"/>
        <v>-0.000396913059304007</v>
      </c>
      <c r="AP78" s="30" t="str">
        <f t="shared" si="81"/>
        <v>234,004254543384-60,5790394237393i</v>
      </c>
      <c r="AQ78" s="32">
        <f t="shared" si="82"/>
        <v>47.6661961696043</v>
      </c>
      <c r="AR78" s="31">
        <f t="shared" si="83"/>
        <v>-14.5140959786923</v>
      </c>
      <c r="AS78" t="str">
        <f t="shared" si="58"/>
        <v>-0,000100699300699301</v>
      </c>
      <c r="AT78" t="str">
        <f t="shared" si="59"/>
        <v>0,0000562060338721118i</v>
      </c>
      <c r="AU78">
        <f t="shared" si="84"/>
        <v>5.62060338721118e-5</v>
      </c>
      <c r="AV78">
        <f t="shared" si="85"/>
        <v>1.5707963267949</v>
      </c>
      <c r="AW78" t="str">
        <f t="shared" si="60"/>
        <v>1+0,00287764584217238i</v>
      </c>
      <c r="AX78">
        <f t="shared" si="86"/>
        <v>1.00000414041423</v>
      </c>
      <c r="AY78">
        <f t="shared" si="87"/>
        <v>0.00287763789909821</v>
      </c>
      <c r="AZ78" t="str">
        <f t="shared" si="61"/>
        <v>1+0,137575961858752i</v>
      </c>
      <c r="BA78">
        <f t="shared" si="88"/>
        <v>1.00941921186461</v>
      </c>
      <c r="BB78">
        <f t="shared" si="89"/>
        <v>0.136717714080046</v>
      </c>
      <c r="BC78" s="30" t="str">
        <f t="shared" si="90"/>
        <v>-0,241324871604157+1,79230459613954i</v>
      </c>
      <c r="BD78" s="32">
        <f t="shared" si="91"/>
        <v>5.14626563847758</v>
      </c>
      <c r="BE78" s="31">
        <f t="shared" si="92"/>
        <v>97.6684714948777</v>
      </c>
      <c r="BF78" s="30" t="str">
        <f t="shared" si="93"/>
        <v>31,4054967779213+121,570975150151i</v>
      </c>
      <c r="BG78" s="68">
        <f t="shared" si="94"/>
        <v>41.9771621201265</v>
      </c>
      <c r="BH78" s="31">
        <f t="shared" si="95"/>
        <v>75.5154159789222</v>
      </c>
      <c r="BI78" s="30" t="str">
        <f t="shared" si="103"/>
        <v>52,1050441063777+434,026129845151i</v>
      </c>
      <c r="BJ78" s="68">
        <f t="shared" si="97"/>
        <v>52.8124618080819</v>
      </c>
      <c r="BK78" s="31">
        <f t="shared" si="104"/>
        <v>83.1543755161855</v>
      </c>
      <c r="BL78" s="32">
        <f t="shared" si="99"/>
        <v>41.9771621201265</v>
      </c>
      <c r="BM78" s="31">
        <f t="shared" si="100"/>
        <v>75.5154159789222</v>
      </c>
      <c r="BO78">
        <f t="shared" si="101"/>
        <v>0</v>
      </c>
      <c r="BP78">
        <f t="shared" si="102"/>
        <v>0</v>
      </c>
    </row>
    <row r="79" spans="1:68">
      <c r="N79" s="7">
        <v>61</v>
      </c>
      <c r="O79" s="18">
        <f t="shared" si="62"/>
        <v>40.7380277804113</v>
      </c>
      <c r="P79" s="86" t="str">
        <f t="shared" si="50"/>
        <v>75</v>
      </c>
      <c r="Q79" s="4" t="str">
        <f t="shared" si="51"/>
        <v>1+0,418075476735811i</v>
      </c>
      <c r="R79" s="4">
        <f t="shared" si="63"/>
        <v>1.08387596349761</v>
      </c>
      <c r="S79" s="4">
        <f t="shared" si="64"/>
        <v>0.395990925230676</v>
      </c>
      <c r="T79" s="4" t="str">
        <f t="shared" si="52"/>
        <v>1+0,00401352457666379i</v>
      </c>
      <c r="U79" s="4">
        <f t="shared" si="65"/>
        <v>1.00000805415733</v>
      </c>
      <c r="V79" s="4">
        <f t="shared" si="66"/>
        <v>0.00401350302641303</v>
      </c>
      <c r="W79" t="str">
        <f t="shared" si="53"/>
        <v>1-0,00210530865070534i</v>
      </c>
      <c r="X79" s="4">
        <f t="shared" si="67"/>
        <v>1.0000022161598</v>
      </c>
      <c r="Y79" s="4">
        <f t="shared" si="68"/>
        <v>-0.00210530554024323</v>
      </c>
      <c r="Z79" t="str">
        <f t="shared" si="54"/>
        <v>0,999999986452352+0,000660649798535336i</v>
      </c>
      <c r="AA79" s="4">
        <f t="shared" si="69"/>
        <v>1.00000020468141</v>
      </c>
      <c r="AB79" s="4">
        <f t="shared" si="70"/>
        <v>0.000660649711370277</v>
      </c>
      <c r="AC79" s="67" t="str">
        <f t="shared" si="71"/>
        <v>63,8752454434257-26,6111066897345i</v>
      </c>
      <c r="AD79" s="68">
        <f t="shared" si="72"/>
        <v>36.8017209906899</v>
      </c>
      <c r="AE79" s="31">
        <f t="shared" si="73"/>
        <v>-22.6171295189614</v>
      </c>
      <c r="AF79" s="32" t="str">
        <f t="shared" si="74"/>
        <v>249,914648392112</v>
      </c>
      <c r="AG79" s="32" t="str">
        <f t="shared" si="55"/>
        <v>1+0,268762806473022i</v>
      </c>
      <c r="AH79" s="32">
        <f t="shared" si="75"/>
        <v>1.03548705744845</v>
      </c>
      <c r="AI79" s="32">
        <f t="shared" si="76"/>
        <v>0.262558345514262</v>
      </c>
      <c r="AJ79" s="32" t="str">
        <f t="shared" si="56"/>
        <v>1+0,00401352457666379i</v>
      </c>
      <c r="AK79" s="32">
        <f t="shared" si="77"/>
        <v>1.00000805415733</v>
      </c>
      <c r="AL79" s="32">
        <f t="shared" si="78"/>
        <v>0.00401350302641303</v>
      </c>
      <c r="AM79" s="32" t="str">
        <f t="shared" si="57"/>
        <v>1-0,000406158373459232i</v>
      </c>
      <c r="AN79" s="32">
        <f t="shared" si="79"/>
        <v>1.00000008248231</v>
      </c>
      <c r="AO79" s="32">
        <f t="shared" si="80"/>
        <v>-0.000406158351125313</v>
      </c>
      <c r="AP79" s="30" t="str">
        <f t="shared" si="81"/>
        <v>233,304935040056-61,8021554490762i</v>
      </c>
      <c r="AQ79" s="32">
        <f t="shared" si="82"/>
        <v>47.6530114218618</v>
      </c>
      <c r="AR79" s="31">
        <f t="shared" si="83"/>
        <v>-14.8367994487619</v>
      </c>
      <c r="AS79" t="str">
        <f t="shared" si="58"/>
        <v>-0,000100699300699301</v>
      </c>
      <c r="AT79" t="str">
        <f t="shared" si="59"/>
        <v>0,0000575152405852267i</v>
      </c>
      <c r="AU79">
        <f t="shared" si="84"/>
        <v>5.75152405852267e-5</v>
      </c>
      <c r="AV79">
        <f t="shared" si="85"/>
        <v>1.5707963267949</v>
      </c>
      <c r="AW79" t="str">
        <f t="shared" si="60"/>
        <v>1+0,00294467482456084i</v>
      </c>
      <c r="AX79">
        <f t="shared" si="86"/>
        <v>1.00000433554551</v>
      </c>
      <c r="AY79">
        <f t="shared" si="87"/>
        <v>0.00294466631340552</v>
      </c>
      <c r="AZ79" t="str">
        <f t="shared" si="61"/>
        <v>1+0,140780517676345i</v>
      </c>
      <c r="BA79">
        <f t="shared" si="88"/>
        <v>1.00986095783391</v>
      </c>
      <c r="BB79">
        <f t="shared" si="89"/>
        <v>0.139861372909423</v>
      </c>
      <c r="BC79" s="30" t="str">
        <f t="shared" si="90"/>
        <v>-0,241324777424509+1,75153874567628i</v>
      </c>
      <c r="BD79" s="32">
        <f t="shared" si="91"/>
        <v>4.95006426497405</v>
      </c>
      <c r="BE79" s="31">
        <f t="shared" si="92"/>
        <v>97.8447494327828</v>
      </c>
      <c r="BF79" s="30" t="str">
        <f t="shared" si="93"/>
        <v>31,1957050428246+118,301886682662i</v>
      </c>
      <c r="BG79" s="68">
        <f t="shared" si="94"/>
        <v>41.7517852556639</v>
      </c>
      <c r="BH79" s="31">
        <f t="shared" si="95"/>
        <v>75.2276199138214</v>
      </c>
      <c r="BI79" s="30" t="str">
        <f t="shared" si="103"/>
        <v>51,9466083147844+423,557024688249i</v>
      </c>
      <c r="BJ79" s="68">
        <f t="shared" si="97"/>
        <v>52.6030756868358</v>
      </c>
      <c r="BK79" s="31">
        <f t="shared" si="104"/>
        <v>83.0079499840209</v>
      </c>
      <c r="BL79" s="32">
        <f t="shared" si="99"/>
        <v>41.7517852556639</v>
      </c>
      <c r="BM79" s="31">
        <f t="shared" si="100"/>
        <v>75.2276199138214</v>
      </c>
      <c r="BO79">
        <f t="shared" si="101"/>
        <v>0</v>
      </c>
      <c r="BP79">
        <f t="shared" si="102"/>
        <v>0</v>
      </c>
    </row>
    <row r="80" spans="1:68">
      <c r="N80" s="7">
        <v>62</v>
      </c>
      <c r="O80" s="18">
        <f t="shared" si="62"/>
        <v>41.6869383470336</v>
      </c>
      <c r="P80" s="86" t="str">
        <f t="shared" si="50"/>
        <v>75</v>
      </c>
      <c r="Q80" s="4" t="str">
        <f t="shared" si="51"/>
        <v>1+0,427813705588192i</v>
      </c>
      <c r="R80" s="4">
        <f t="shared" si="63"/>
        <v>1.08766932782399</v>
      </c>
      <c r="S80" s="4">
        <f t="shared" si="64"/>
        <v>0.404251465422898</v>
      </c>
      <c r="T80" s="4" t="str">
        <f t="shared" si="52"/>
        <v>1+0,00410701157364665i</v>
      </c>
      <c r="U80" s="4">
        <f t="shared" si="65"/>
        <v>1.00000843373647</v>
      </c>
      <c r="V80" s="4">
        <f t="shared" si="66"/>
        <v>0.00410698848214745</v>
      </c>
      <c r="W80" t="str">
        <f t="shared" si="53"/>
        <v>1-0,00215434758885483i</v>
      </c>
      <c r="X80" s="4">
        <f t="shared" si="67"/>
        <v>1.00000232060407</v>
      </c>
      <c r="Y80" s="4">
        <f t="shared" si="68"/>
        <v>-0.00215434425593505</v>
      </c>
      <c r="Z80" t="str">
        <f t="shared" si="54"/>
        <v>0,999999985813871+0,000676038309192903i</v>
      </c>
      <c r="AA80" s="4">
        <f t="shared" si="69"/>
        <v>1.00000021432775</v>
      </c>
      <c r="AB80" s="4">
        <f t="shared" si="70"/>
        <v>0.000676038215793861</v>
      </c>
      <c r="AC80" s="67" t="str">
        <f t="shared" si="71"/>
        <v>63,4320648418393-27,0413602791631i</v>
      </c>
      <c r="AD80" s="68">
        <f t="shared" si="72"/>
        <v>36.7713791840785</v>
      </c>
      <c r="AE80" s="31">
        <f t="shared" si="73"/>
        <v>-23.0887586942128</v>
      </c>
      <c r="AF80" s="32" t="str">
        <f t="shared" si="74"/>
        <v>249,914648392112</v>
      </c>
      <c r="AG80" s="32" t="str">
        <f t="shared" si="55"/>
        <v>1+0,275023096449552i</v>
      </c>
      <c r="AH80" s="32">
        <f t="shared" si="75"/>
        <v>1.037129550047</v>
      </c>
      <c r="AI80" s="32">
        <f t="shared" si="76"/>
        <v>0.268387683364399</v>
      </c>
      <c r="AJ80" s="32" t="str">
        <f t="shared" si="56"/>
        <v>1+0,00410701157364665i</v>
      </c>
      <c r="AK80" s="32">
        <f t="shared" si="77"/>
        <v>1.00000843373647</v>
      </c>
      <c r="AL80" s="32">
        <f t="shared" si="78"/>
        <v>0.00410698848214745</v>
      </c>
      <c r="AM80" s="32" t="str">
        <f t="shared" si="57"/>
        <v>1-0,000415619017316982i</v>
      </c>
      <c r="AN80" s="32">
        <f t="shared" si="79"/>
        <v>1.00000008636958</v>
      </c>
      <c r="AO80" s="32">
        <f t="shared" si="80"/>
        <v>-0.000415618993385757</v>
      </c>
      <c r="AP80" s="30" t="str">
        <f t="shared" si="81"/>
        <v>232,577188447296-63,041565457514i</v>
      </c>
      <c r="AQ80" s="32">
        <f t="shared" si="82"/>
        <v>47.6392480845182</v>
      </c>
      <c r="AR80" s="31">
        <f t="shared" si="83"/>
        <v>-15.1659816377442</v>
      </c>
      <c r="AS80" t="str">
        <f t="shared" si="58"/>
        <v>-0,000100699300699301</v>
      </c>
      <c r="AT80" t="str">
        <f t="shared" si="59"/>
        <v>0,0000588549426402041i</v>
      </c>
      <c r="AU80">
        <f t="shared" si="84"/>
        <v>5.88549426402041e-5</v>
      </c>
      <c r="AV80">
        <f t="shared" si="85"/>
        <v>1.5707963267949</v>
      </c>
      <c r="AW80" t="str">
        <f t="shared" si="60"/>
        <v>1+0,00301326511251867i</v>
      </c>
      <c r="AX80">
        <f t="shared" si="86"/>
        <v>1.00000453987301</v>
      </c>
      <c r="AY80">
        <f t="shared" si="87"/>
        <v>0.00301325599265367</v>
      </c>
      <c r="AZ80" t="str">
        <f t="shared" si="61"/>
        <v>1+0,14405971718786i</v>
      </c>
      <c r="BA80">
        <f t="shared" si="88"/>
        <v>1.01032331563527</v>
      </c>
      <c r="BB80">
        <f t="shared" si="89"/>
        <v>0.143075378519735</v>
      </c>
      <c r="BC80" s="30" t="str">
        <f t="shared" si="90"/>
        <v>-0,241324678806388+1,71170158421418i</v>
      </c>
      <c r="BD80" s="32">
        <f t="shared" si="91"/>
        <v>4.75403835415928</v>
      </c>
      <c r="BE80" s="31">
        <f t="shared" si="92"/>
        <v>98.0249684904459</v>
      </c>
      <c r="BF80" s="30" t="str">
        <f t="shared" si="93"/>
        <v>30,979016555167+115,10251346361i</v>
      </c>
      <c r="BG80" s="68">
        <f t="shared" si="94"/>
        <v>41.5254175382378</v>
      </c>
      <c r="BH80" s="31">
        <f t="shared" si="95"/>
        <v>74.9362097962332</v>
      </c>
      <c r="BI80" s="30" t="str">
        <f t="shared" si="103"/>
        <v>51,7817321652322+413,316227452803i</v>
      </c>
      <c r="BJ80" s="68">
        <f t="shared" si="97"/>
        <v>52.3932864386775</v>
      </c>
      <c r="BK80" s="31">
        <f t="shared" si="104"/>
        <v>82.8589868527018</v>
      </c>
      <c r="BL80" s="32">
        <f t="shared" si="99"/>
        <v>41.5254175382378</v>
      </c>
      <c r="BM80" s="31">
        <f t="shared" si="100"/>
        <v>74.9362097962332</v>
      </c>
      <c r="BO80">
        <f t="shared" si="101"/>
        <v>0</v>
      </c>
      <c r="BP80">
        <f t="shared" si="102"/>
        <v>0</v>
      </c>
    </row>
    <row r="81" spans="14:68">
      <c r="N81" s="7">
        <v>63</v>
      </c>
      <c r="O81" s="18">
        <f t="shared" si="62"/>
        <v>42.6579518801593</v>
      </c>
      <c r="P81" s="86" t="str">
        <f t="shared" si="50"/>
        <v>75</v>
      </c>
      <c r="Q81" s="4" t="str">
        <f t="shared" si="51"/>
        <v>1+0,437778766930058i</v>
      </c>
      <c r="R81" s="4">
        <f t="shared" si="63"/>
        <v>1.09162733969739</v>
      </c>
      <c r="S81" s="4">
        <f t="shared" si="64"/>
        <v>0.412644399066886</v>
      </c>
      <c r="T81" s="4" t="str">
        <f t="shared" si="52"/>
        <v>1+0,00420267616252856i</v>
      </c>
      <c r="U81" s="4">
        <f t="shared" si="65"/>
        <v>1.00000883120447</v>
      </c>
      <c r="V81" s="4">
        <f t="shared" si="66"/>
        <v>0.00420265141955318</v>
      </c>
      <c r="W81" t="str">
        <f t="shared" si="53"/>
        <v>1-0,00220452879061208i</v>
      </c>
      <c r="X81" s="4">
        <f t="shared" si="67"/>
        <v>1.00000242997064</v>
      </c>
      <c r="Y81" s="4">
        <f t="shared" si="68"/>
        <v>-0.00220452521932466</v>
      </c>
      <c r="Z81" t="str">
        <f t="shared" si="54"/>
        <v>0,999999985145299+0,000691785264310427i</v>
      </c>
      <c r="AA81" s="4">
        <f t="shared" si="69"/>
        <v>1.0000002244287</v>
      </c>
      <c r="AB81" s="4">
        <f t="shared" si="70"/>
        <v>0.000691785164231552</v>
      </c>
      <c r="AC81" s="67" t="str">
        <f t="shared" si="71"/>
        <v>62,9745648338384-27,4709507097482i</v>
      </c>
      <c r="AD81" s="68">
        <f t="shared" si="72"/>
        <v>36.7398330515138</v>
      </c>
      <c r="AE81" s="31">
        <f t="shared" si="73"/>
        <v>-23.5679346782773</v>
      </c>
      <c r="AF81" s="32" t="str">
        <f t="shared" si="74"/>
        <v>249,914648392112</v>
      </c>
      <c r="AG81" s="32" t="str">
        <f t="shared" si="55"/>
        <v>1+0,28142920731218i</v>
      </c>
      <c r="AH81" s="32">
        <f t="shared" si="75"/>
        <v>1.0388466675734</v>
      </c>
      <c r="AI81" s="32">
        <f t="shared" si="76"/>
        <v>0.274333514210325</v>
      </c>
      <c r="AJ81" s="32" t="str">
        <f t="shared" si="56"/>
        <v>1+0,00420267616252856i</v>
      </c>
      <c r="AK81" s="32">
        <f t="shared" si="77"/>
        <v>1.00000883120447</v>
      </c>
      <c r="AL81" s="32">
        <f t="shared" si="78"/>
        <v>0.00420265141955318</v>
      </c>
      <c r="AM81" s="32" t="str">
        <f t="shared" si="57"/>
        <v>1-0,000425300027879081i</v>
      </c>
      <c r="AN81" s="32">
        <f t="shared" si="79"/>
        <v>1.00000009044005</v>
      </c>
      <c r="AO81" s="32">
        <f t="shared" si="80"/>
        <v>-0.000425300002236311</v>
      </c>
      <c r="AP81" s="30" t="str">
        <f t="shared" si="81"/>
        <v>231,820065117093-64,2969155364256i</v>
      </c>
      <c r="AQ81" s="32">
        <f t="shared" si="82"/>
        <v>47.6248827209607</v>
      </c>
      <c r="AR81" s="31">
        <f t="shared" si="83"/>
        <v>-15.5017262492938</v>
      </c>
      <c r="AS81" t="str">
        <f t="shared" si="58"/>
        <v>-0,000100699300699301</v>
      </c>
      <c r="AT81" t="str">
        <f t="shared" si="59"/>
        <v>0,0000602258503648066i</v>
      </c>
      <c r="AU81">
        <f t="shared" si="84"/>
        <v>6.02258503648066e-5</v>
      </c>
      <c r="AV81">
        <f t="shared" si="85"/>
        <v>1.5707963267949</v>
      </c>
      <c r="AW81" t="str">
        <f t="shared" si="60"/>
        <v>1+0,00308345307352443i</v>
      </c>
      <c r="AX81">
        <f t="shared" si="86"/>
        <v>1.00000475383013</v>
      </c>
      <c r="AY81">
        <f t="shared" si="87"/>
        <v>0.00308344330141553</v>
      </c>
      <c r="AZ81" t="str">
        <f t="shared" si="61"/>
        <v>1+0,147415299068285i</v>
      </c>
      <c r="BA81">
        <f t="shared" si="88"/>
        <v>1.01080723701376</v>
      </c>
      <c r="BB81">
        <f t="shared" si="89"/>
        <v>0.146361169279337</v>
      </c>
      <c r="BC81" s="30" t="str">
        <f t="shared" si="90"/>
        <v>-0,241324575540627+1,67277198956106i</v>
      </c>
      <c r="BD81" s="32">
        <f t="shared" si="91"/>
        <v>4.5581958389176</v>
      </c>
      <c r="BE81" s="31">
        <f t="shared" si="92"/>
        <v>98.2092089967668</v>
      </c>
      <c r="BF81" s="30" t="str">
        <f t="shared" si="93"/>
        <v>30,7553267454976+111,971503628569i</v>
      </c>
      <c r="BG81" s="68">
        <f t="shared" si="94"/>
        <v>41.2980288904313</v>
      </c>
      <c r="BH81" s="31">
        <f t="shared" si="95"/>
        <v>74.6412743184895</v>
      </c>
      <c r="BI81" s="30" t="str">
        <f t="shared" si="103"/>
        <v>51,6102005083231+403,298537396494i</v>
      </c>
      <c r="BJ81" s="68">
        <f t="shared" si="97"/>
        <v>52.1830785598784</v>
      </c>
      <c r="BK81" s="31">
        <f t="shared" si="104"/>
        <v>82.7074827474731</v>
      </c>
      <c r="BL81" s="32">
        <f t="shared" si="99"/>
        <v>41.2980288904313</v>
      </c>
      <c r="BM81" s="31">
        <f t="shared" si="100"/>
        <v>74.6412743184895</v>
      </c>
      <c r="BO81">
        <f t="shared" si="101"/>
        <v>0</v>
      </c>
      <c r="BP81">
        <f t="shared" si="102"/>
        <v>0</v>
      </c>
    </row>
    <row r="82" spans="14:68">
      <c r="N82" s="7">
        <v>64</v>
      </c>
      <c r="O82" s="18">
        <f t="shared" si="62"/>
        <v>43.6515832240166</v>
      </c>
      <c r="P82" s="86" t="str">
        <f t="shared" si="50"/>
        <v>75</v>
      </c>
      <c r="Q82" s="4" t="str">
        <f t="shared" si="51"/>
        <v>1+0,447975944368838i</v>
      </c>
      <c r="R82" s="4">
        <f t="shared" si="63"/>
        <v>1.09575656362768</v>
      </c>
      <c r="S82" s="4">
        <f t="shared" si="64"/>
        <v>0.421169445481044</v>
      </c>
      <c r="T82" s="4" t="str">
        <f t="shared" si="52"/>
        <v>1+0,00430056906594085i</v>
      </c>
      <c r="U82" s="4">
        <f t="shared" si="65"/>
        <v>1.00000924740439</v>
      </c>
      <c r="V82" s="4">
        <f t="shared" si="66"/>
        <v>0.0043005425533783</v>
      </c>
      <c r="W82" t="str">
        <f t="shared" si="53"/>
        <v>1-0,0022558788627145i</v>
      </c>
      <c r="X82" s="4">
        <f t="shared" si="67"/>
        <v>1.00000254449148</v>
      </c>
      <c r="Y82" s="4">
        <f t="shared" si="68"/>
        <v>-0.00225587503601161</v>
      </c>
      <c r="Z82" t="str">
        <f t="shared" si="54"/>
        <v>0,999999984445219+0,000707899013131948i</v>
      </c>
      <c r="AA82" s="4">
        <f t="shared" si="69"/>
        <v>1.0000002350057</v>
      </c>
      <c r="AB82" s="4">
        <f t="shared" si="70"/>
        <v>0.000707898905895502</v>
      </c>
      <c r="AC82" s="67" t="str">
        <f t="shared" si="71"/>
        <v>62,5025488465937-27,8993795703428i</v>
      </c>
      <c r="AD82" s="68">
        <f t="shared" si="72"/>
        <v>36.7070440337891</v>
      </c>
      <c r="AE82" s="31">
        <f t="shared" si="73"/>
        <v>-24.0546404863062</v>
      </c>
      <c r="AF82" s="32" t="str">
        <f t="shared" si="74"/>
        <v>249,914648392112</v>
      </c>
      <c r="AG82" s="32" t="str">
        <f t="shared" si="55"/>
        <v>1+0,287984535665681i</v>
      </c>
      <c r="AH82" s="32">
        <f t="shared" si="75"/>
        <v>1.04064167357577</v>
      </c>
      <c r="AI82" s="32">
        <f t="shared" si="76"/>
        <v>0.280397308322516</v>
      </c>
      <c r="AJ82" s="32" t="str">
        <f t="shared" si="56"/>
        <v>1+0,00430056906594085i</v>
      </c>
      <c r="AK82" s="32">
        <f t="shared" si="77"/>
        <v>1.00000924740439</v>
      </c>
      <c r="AL82" s="32">
        <f t="shared" si="78"/>
        <v>0.0043005425533783</v>
      </c>
      <c r="AM82" s="32" t="str">
        <f t="shared" si="57"/>
        <v>1-0,000435206538145472i</v>
      </c>
      <c r="AN82" s="32">
        <f t="shared" si="79"/>
        <v>1.00000009470236</v>
      </c>
      <c r="AO82" s="32">
        <f t="shared" si="80"/>
        <v>-0.000435206510668749</v>
      </c>
      <c r="AP82" s="30" t="str">
        <f t="shared" si="81"/>
        <v>231,032602005941-65,5678058952731i</v>
      </c>
      <c r="AQ82" s="32">
        <f t="shared" si="82"/>
        <v>47.6098911190398</v>
      </c>
      <c r="AR82" s="31">
        <f t="shared" si="83"/>
        <v>-15.8441149120616</v>
      </c>
      <c r="AS82" t="str">
        <f t="shared" si="58"/>
        <v>-0,000100699300699301</v>
      </c>
      <c r="AT82" t="str">
        <f t="shared" si="59"/>
        <v>0,0000616286906324558i</v>
      </c>
      <c r="AU82">
        <f t="shared" si="84"/>
        <v>6.16286906324558e-5</v>
      </c>
      <c r="AV82">
        <f t="shared" si="85"/>
        <v>1.5707963267949</v>
      </c>
      <c r="AW82" t="str">
        <f t="shared" si="60"/>
        <v>1+0,0031552759221641i</v>
      </c>
      <c r="AX82">
        <f t="shared" si="86"/>
        <v>1.00000497787068</v>
      </c>
      <c r="AY82">
        <f t="shared" si="87"/>
        <v>0.00315526545116358</v>
      </c>
      <c r="AZ82" t="str">
        <f t="shared" si="61"/>
        <v>1+0,150849042491547i</v>
      </c>
      <c r="BA82">
        <f t="shared" si="88"/>
        <v>1.01131371671733</v>
      </c>
      <c r="BB82">
        <f t="shared" si="89"/>
        <v>0.14972020341203</v>
      </c>
      <c r="BC82" s="30" t="str">
        <f t="shared" si="90"/>
        <v>-0,241324467408193+1,63472932072855i</v>
      </c>
      <c r="BD82" s="32">
        <f t="shared" si="91"/>
        <v>4.36254499457762</v>
      </c>
      <c r="BE82" s="31">
        <f t="shared" si="92"/>
        <v>98.3975523697544</v>
      </c>
      <c r="BF82" s="30" t="str">
        <f t="shared" si="93"/>
        <v>30,5245395017157+108,907552135627i</v>
      </c>
      <c r="BG82" s="68">
        <f t="shared" si="94"/>
        <v>41.0695890283667</v>
      </c>
      <c r="BH82" s="31">
        <f t="shared" si="95"/>
        <v>74.3429118834482</v>
      </c>
      <c r="BI82" s="30" t="str">
        <f t="shared" si="103"/>
        <v>51,4317951598285+393,498884380122i</v>
      </c>
      <c r="BJ82" s="68">
        <f t="shared" si="97"/>
        <v>51.9724361136174</v>
      </c>
      <c r="BK82" s="31">
        <f t="shared" si="104"/>
        <v>82.5534374576928</v>
      </c>
      <c r="BL82" s="32">
        <f t="shared" si="99"/>
        <v>41.0695890283667</v>
      </c>
      <c r="BM82" s="31">
        <f t="shared" si="100"/>
        <v>74.3429118834482</v>
      </c>
      <c r="BO82">
        <f t="shared" si="101"/>
        <v>0</v>
      </c>
      <c r="BP82">
        <f t="shared" si="102"/>
        <v>0</v>
      </c>
    </row>
    <row r="83" spans="14:68">
      <c r="N83" s="7">
        <v>65</v>
      </c>
      <c r="O83" s="18">
        <f t="shared" si="62"/>
        <v>44.6683592150963</v>
      </c>
      <c r="P83" s="86" t="str">
        <f t="shared" ref="P83:P146" si="105">COMPLEX(Adc,0)</f>
        <v>75</v>
      </c>
      <c r="Q83" s="4" t="str">
        <f t="shared" ref="Q83:Q146" si="106">IMSUM(COMPLEX(1,0),IMDIV(COMPLEX(0,2*PI()*O83),COMPLEX(wp_lf,0)))</f>
        <v>1+0,458410644582984i</v>
      </c>
      <c r="R83" s="4">
        <f t="shared" si="63"/>
        <v>1.10006377954507</v>
      </c>
      <c r="S83" s="4">
        <f t="shared" si="64"/>
        <v>0.42982616715375</v>
      </c>
      <c r="T83" s="4" t="str">
        <f t="shared" ref="T83:T146" si="107">IMSUM(COMPLEX(1,0),IMDIV(COMPLEX(0,2*PI()*O83),COMPLEX(wz_esr,0)))</f>
        <v>1+0,00440074218799665i</v>
      </c>
      <c r="U83" s="4">
        <f t="shared" si="65"/>
        <v>1.00000968321902</v>
      </c>
      <c r="V83" s="4">
        <f t="shared" si="66"/>
        <v>0.00440071377928891</v>
      </c>
      <c r="W83" t="str">
        <f t="shared" ref="W83:W146" si="108">IMSUB(COMPLEX(1,0),IMDIV(COMPLEX(0,2*PI()*O83),COMPLEX(wz_rhp,0)))</f>
        <v>1-0,00230842503165003i</v>
      </c>
      <c r="X83" s="4">
        <f t="shared" si="67"/>
        <v>1.00000266440951</v>
      </c>
      <c r="Y83" s="4">
        <f t="shared" si="68"/>
        <v>-0.0023084209312646</v>
      </c>
      <c r="Z83" t="str">
        <f t="shared" ref="Z83:Z146" si="109">IMSUM(COMPLEX(1,0),IMDIV(COMPLEX(0,2*PI()*O83),COMPLEX(Q*(wsl/2),0)),IMDIV(IMPOWER(COMPLEX(0,2*PI()*O83),2),IMPOWER(COMPLEX(wsl/2,0),2)))</f>
        <v>0,999999983712144+0,000724388099380384i</v>
      </c>
      <c r="AA83" s="4">
        <f t="shared" si="69"/>
        <v>1.00000024608117</v>
      </c>
      <c r="AB83" s="4">
        <f t="shared" si="70"/>
        <v>0.000724387984474464</v>
      </c>
      <c r="AC83" s="67" t="str">
        <f t="shared" si="71"/>
        <v>62,0158393878494-28,3261268338329i</v>
      </c>
      <c r="AD83" s="68">
        <f t="shared" si="72"/>
        <v>36.6729730714548</v>
      </c>
      <c r="AE83" s="31">
        <f t="shared" si="73"/>
        <v>-24.5488501267377</v>
      </c>
      <c r="AF83" s="32" t="str">
        <f t="shared" si="74"/>
        <v>249,914648392112</v>
      </c>
      <c r="AG83" s="32" t="str">
        <f t="shared" ref="AG83:AG146" si="110">IMSUM(COMPLEX(1,0),IMDIV(COMPLEX(0,2*PI()*O83),COMPLEX(wp_lf_DCM,0)))</f>
        <v>1+0,294692557231919i</v>
      </c>
      <c r="AH83" s="32">
        <f t="shared" si="75"/>
        <v>1.04251796305286</v>
      </c>
      <c r="AI83" s="32">
        <f t="shared" si="76"/>
        <v>0.286580496402078</v>
      </c>
      <c r="AJ83" s="32" t="str">
        <f t="shared" ref="AJ83:AJ146" si="111">IMSUM(COMPLEX(1,0),IMDIV(COMPLEX(0,2*PI()*O83),COMPLEX(wz1_dcm,0)))</f>
        <v>1+0,00440074218799665i</v>
      </c>
      <c r="AK83" s="32">
        <f t="shared" si="77"/>
        <v>1.00000968321902</v>
      </c>
      <c r="AL83" s="32">
        <f t="shared" si="78"/>
        <v>0.00440071377928891</v>
      </c>
      <c r="AM83" s="32" t="str">
        <f t="shared" ref="AM83:AM146" si="112">IMSUB(COMPLEX(1,0),IMDIV(COMPLEX(0,2*PI()*O83),COMPLEX(wz2_dcm,0)))</f>
        <v>1-0,000445343800679028i</v>
      </c>
      <c r="AN83" s="32">
        <f t="shared" si="79"/>
        <v>1.00000009916555</v>
      </c>
      <c r="AO83" s="32">
        <f t="shared" si="80"/>
        <v>-0.000445343771237189</v>
      </c>
      <c r="AP83" s="30" t="str">
        <f t="shared" si="81"/>
        <v>230,213824266586-66,8537885860426i</v>
      </c>
      <c r="AQ83" s="32">
        <f t="shared" si="82"/>
        <v>47.5942482808524</v>
      </c>
      <c r="AR83" s="31">
        <f t="shared" si="83"/>
        <v>-16.1932269267292</v>
      </c>
      <c r="AS83" t="str">
        <f t="shared" ref="AS83:AS146" si="113">COMPLEX(Adc_ea,0)</f>
        <v>-0,000100699300699301</v>
      </c>
      <c r="AT83" t="str">
        <f t="shared" ref="AT83:AT146" si="114">COMPLEX(0,2*PI()*O83*wp0_ea)</f>
        <v>0,0000630642072476306i</v>
      </c>
      <c r="AU83">
        <f t="shared" si="84"/>
        <v>6.30642072476306e-5</v>
      </c>
      <c r="AV83">
        <f t="shared" si="85"/>
        <v>1.5707963267949</v>
      </c>
      <c r="AW83" t="str">
        <f t="shared" ref="AW83:AW146" si="115">IMSUM(COMPLEX(1,0),IMDIV(COMPLEX(0,2*PI()*O83),COMPLEX(wp1_ea,0)))</f>
        <v>1+0,00322877173986272i</v>
      </c>
      <c r="AX83">
        <f t="shared" si="86"/>
        <v>1.00000521246989</v>
      </c>
      <c r="AY83">
        <f t="shared" si="87"/>
        <v>0.00322876051998668</v>
      </c>
      <c r="AZ83" t="str">
        <f t="shared" ref="AZ83:AZ146" si="116">IMSUM(COMPLEX(1,0),IMDIV(COMPLEX(0,2*PI()*O83),COMPLEX(wz_ea,0)))</f>
        <v>1+0,154362768073862i</v>
      </c>
      <c r="BA83">
        <f t="shared" si="88"/>
        <v>1.01184379435139</v>
      </c>
      <c r="BB83">
        <f t="shared" si="89"/>
        <v>0.153153958562285</v>
      </c>
      <c r="BC83" s="30" t="str">
        <f t="shared" si="90"/>
        <v>-0,24132435417974+1,59755340698792i</v>
      </c>
      <c r="BD83" s="32">
        <f t="shared" si="91"/>
        <v>4.16709445216845</v>
      </c>
      <c r="BE83" s="31">
        <f t="shared" si="92"/>
        <v>98.5900810904867</v>
      </c>
      <c r="BF83" s="30" t="str">
        <f t="shared" si="93"/>
        <v>30,2865680409745+105,909399765863i</v>
      </c>
      <c r="BG83" s="68">
        <f t="shared" si="94"/>
        <v>40.8400675236232</v>
      </c>
      <c r="BH83" s="31">
        <f t="shared" si="95"/>
        <v>74.041230963749</v>
      </c>
      <c r="BI83" s="30" t="str">
        <f t="shared" si="103"/>
        <v>51,2462952613005+383,912326647798i</v>
      </c>
      <c r="BJ83" s="68">
        <f t="shared" si="97"/>
        <v>51.7613427330208</v>
      </c>
      <c r="BK83" s="31">
        <f t="shared" si="104"/>
        <v>82.3968541637575</v>
      </c>
      <c r="BL83" s="32">
        <f t="shared" si="99"/>
        <v>40.8400675236232</v>
      </c>
      <c r="BM83" s="31">
        <f t="shared" si="100"/>
        <v>74.041230963749</v>
      </c>
      <c r="BO83">
        <f t="shared" si="101"/>
        <v>0</v>
      </c>
      <c r="BP83">
        <f t="shared" si="102"/>
        <v>0</v>
      </c>
    </row>
    <row r="84" spans="14:68">
      <c r="N84" s="7">
        <v>66</v>
      </c>
      <c r="O84" s="18">
        <f t="shared" ref="O84:O118" si="117">10^(1+(N84/100))</f>
        <v>45.7088189614875</v>
      </c>
      <c r="P84" s="86" t="str">
        <f t="shared" si="105"/>
        <v>75</v>
      </c>
      <c r="Q84" s="4" t="str">
        <f t="shared" si="106"/>
        <v>1+0,469088400188671i</v>
      </c>
      <c r="R84" s="4">
        <f t="shared" ref="R84:R147" si="118">IMABS(Q84)</f>
        <v>1.10455598644504</v>
      </c>
      <c r="S84" s="4">
        <f t="shared" ref="S84:S147" si="119">IMARGUMENT(Q84)</f>
        <v>0.43861396316069</v>
      </c>
      <c r="T84" s="4" t="str">
        <f t="shared" si="107"/>
        <v>1+0,00450324864181125i</v>
      </c>
      <c r="U84" s="4">
        <f t="shared" ref="U84:U147" si="120">IMABS(T84)</f>
        <v>1.00001013957276</v>
      </c>
      <c r="V84" s="4">
        <f t="shared" ref="V84:V147" si="121">IMARGUMENT(T84)</f>
        <v>0.00450321820134914</v>
      </c>
      <c r="W84" t="str">
        <f t="shared" si="108"/>
        <v>1-0,00236219515809295i</v>
      </c>
      <c r="X84" s="4">
        <f t="shared" ref="X84:X147" si="122">IMABS(W84)</f>
        <v>1.00000278997909</v>
      </c>
      <c r="Y84" s="4">
        <f t="shared" ref="Y84:Y147" si="123">IMARGUMENT(W84)</f>
        <v>-0.00236219076445146</v>
      </c>
      <c r="Z84" t="str">
        <f t="shared" si="109"/>
        <v>0,999999982944521+0,000741261265787521i</v>
      </c>
      <c r="AA84" s="4">
        <f t="shared" ref="AA84:AA147" si="124">IMABS(Z84)</f>
        <v>1.00000025767862</v>
      </c>
      <c r="AB84" s="4">
        <f t="shared" ref="AB84:AB147" si="125">IMARGUMENT(Z84)</f>
        <v>0.000741261142663611</v>
      </c>
      <c r="AC84" s="67" t="str">
        <f t="shared" ref="AC84:AC147" si="126">(IMDIV(IMPRODUCT(P84,T84,W84),IMPRODUCT(Q84,Z84)))</f>
        <v>61,514279864148-28,7506513621198i</v>
      </c>
      <c r="AD84" s="68">
        <f t="shared" ref="AD84:AD147" si="127">20*LOG(IMABS(AC84))</f>
        <v>36.6375806583</v>
      </c>
      <c r="AE84" s="31">
        <f t="shared" ref="AE84:AE147" si="128">(180/PI())*IMARGUMENT(AC84)</f>
        <v>-25.0505282236498</v>
      </c>
      <c r="AF84" s="32" t="str">
        <f t="shared" ref="AF84:AF147" si="129">COMPLEX($B$68,0)</f>
        <v>249,914648392112</v>
      </c>
      <c r="AG84" s="32" t="str">
        <f t="shared" si="110"/>
        <v>1+0,301556828692717i</v>
      </c>
      <c r="AH84" s="32">
        <f t="shared" ref="AH84:AH147" si="130">IMABS(AG84)</f>
        <v>1.04447906677502</v>
      </c>
      <c r="AI84" s="32">
        <f t="shared" ref="AI84:AI147" si="131">IMARGUMENT(AG84)</f>
        <v>0.29288446497646</v>
      </c>
      <c r="AJ84" s="32" t="str">
        <f t="shared" si="111"/>
        <v>1+0,00450324864181125i</v>
      </c>
      <c r="AK84" s="32">
        <f t="shared" ref="AK84:AK147" si="132">IMABS(AJ84)</f>
        <v>1.00001013957276</v>
      </c>
      <c r="AL84" s="32">
        <f t="shared" ref="AL84:AL147" si="133">IMARGUMENT(AJ84)</f>
        <v>0.00450321820134914</v>
      </c>
      <c r="AM84" s="32" t="str">
        <f t="shared" si="112"/>
        <v>1-0,000455717190390527i</v>
      </c>
      <c r="AN84" s="32">
        <f t="shared" ref="AN84:AN147" si="134">IMABS(AM84)</f>
        <v>1.00000010383907</v>
      </c>
      <c r="AO84" s="32">
        <f t="shared" ref="AO84:AO147" si="135">IMARGUMENT(AM84)</f>
        <v>-0.000455717158843029</v>
      </c>
      <c r="AP84" s="30" t="str">
        <f t="shared" ref="AP84:AP147" si="136">(IMDIV(IMPRODUCT(AF84,AJ84,AM84),IMPRODUCT(AG84)))</f>
        <v>229,362747032826-68,154365215931i</v>
      </c>
      <c r="AQ84" s="32">
        <f t="shared" ref="AQ84:AQ147" si="137">20*LOG(IMABS(AP84))</f>
        <v>47.5779284138934</v>
      </c>
      <c r="AR84" s="31">
        <f t="shared" ref="AR84:AR147" si="138">(180/PI())*IMARGUMENT(AP84)</f>
        <v>-16.5491390007879</v>
      </c>
      <c r="AS84" t="str">
        <f t="shared" si="113"/>
        <v>-0,000100699300699301</v>
      </c>
      <c r="AT84" t="str">
        <f t="shared" si="114"/>
        <v>0,0000645331613402415i</v>
      </c>
      <c r="AU84">
        <f t="shared" ref="AU84:AU147" si="139">IMABS(AT84)</f>
        <v>6.45331613402415e-5</v>
      </c>
      <c r="AV84">
        <f t="shared" ref="AV84:AV147" si="140">IMARGUMENT(AT84)</f>
        <v>1.5707963267949</v>
      </c>
      <c r="AW84" t="str">
        <f t="shared" si="115"/>
        <v>1+0,00330397949507566i</v>
      </c>
      <c r="AX84">
        <f t="shared" ref="AX84:AX147" si="141">IMABS(AW84)</f>
        <v>1.00000545812536</v>
      </c>
      <c r="AY84">
        <f t="shared" ref="AY84:AY147" si="142">IMARGUMENT(AW84)</f>
        <v>0.00330396747276542</v>
      </c>
      <c r="AZ84" t="str">
        <f t="shared" si="116"/>
        <v>1+0,157958338839042i</v>
      </c>
      <c r="BA84">
        <f t="shared" ref="BA84:BA147" si="143">IMABS(AZ84)</f>
        <v>1.01239855630517</v>
      </c>
      <c r="BB84">
        <f t="shared" ref="BB84:BB147" si="144">IMARGUMENT(AZ84)</f>
        <v>0.156663931295254</v>
      </c>
      <c r="BC84" s="30" t="str">
        <f t="shared" ref="BC84:BC147" si="145">IMPRODUCT(AS84,IMDIV(AZ84,IMPRODUCT(AT84,AW84)))</f>
        <v>-0,241324235615108+1,56122453717532i</v>
      </c>
      <c r="BD84" s="32">
        <f t="shared" ref="BD84:BD147" si="146">20*LOG(IMABS(BC84))</f>
        <v>3.97185321204401</v>
      </c>
      <c r="BE84" s="31">
        <f t="shared" ref="BE84:BE147" si="147">(180/PI())*IMARGUMENT(BC84)</f>
        <v>98.7868786733076</v>
      </c>
      <c r="BF84" s="30" t="str">
        <f t="shared" ref="BF84:BF147" si="148">IMPRODUCT(AC84,BC84)</f>
        <v>30,0413357986851+102,975832073978i</v>
      </c>
      <c r="BG84" s="68">
        <f t="shared" ref="BG84:BG147" si="149">20*LOG(IMABS(BF84))</f>
        <v>40.6094338703441</v>
      </c>
      <c r="BH84" s="31">
        <f t="shared" ref="BH84:BH147" si="150">(180/PI())*IMARGUMENT(BF84)</f>
        <v>73.7363504496579</v>
      </c>
      <c r="BI84" s="30" t="str">
        <f t="shared" si="103"/>
        <v>51,0534776844415+374,534048671151i</v>
      </c>
      <c r="BJ84" s="68">
        <f t="shared" ref="BJ84:BJ147" si="151">20*LOG(IMABS(BI84))</f>
        <v>51.5497816259374</v>
      </c>
      <c r="BK84" s="31">
        <f t="shared" si="104"/>
        <v>82.2377396725197</v>
      </c>
      <c r="BL84" s="32">
        <f t="shared" ref="BL84:BL147" si="152">IF($B$31=0,BJ84,BG84)</f>
        <v>40.6094338703441</v>
      </c>
      <c r="BM84" s="31">
        <f t="shared" ref="BM84:BM147" si="153">IF($B$31=0,BK84,BH84)</f>
        <v>73.7363504496579</v>
      </c>
      <c r="BO84">
        <f t="shared" ref="BO84:BO147" si="154">SUM((BL85&lt;0)*(BL84&gt;0))*O84</f>
        <v>0</v>
      </c>
      <c r="BP84">
        <f t="shared" ref="BP84:BP147" si="155">IF(BO84&gt;0,BM84,0)</f>
        <v>0</v>
      </c>
    </row>
    <row r="85" spans="14:68">
      <c r="N85" s="7">
        <v>67</v>
      </c>
      <c r="O85" s="18">
        <f t="shared" si="117"/>
        <v>46.7735141287198</v>
      </c>
      <c r="P85" s="86" t="str">
        <f t="shared" si="105"/>
        <v>75</v>
      </c>
      <c r="Q85" s="4" t="str">
        <f t="shared" si="106"/>
        <v>1+0,480014872673257i</v>
      </c>
      <c r="R85" s="4">
        <f t="shared" si="118"/>
        <v>1.10924040585778</v>
      </c>
      <c r="S85" s="4">
        <f t="shared" si="119"/>
        <v>0.447532062760359</v>
      </c>
      <c r="T85" s="4" t="str">
        <f t="shared" si="107"/>
        <v>1+0,00460814277766327i</v>
      </c>
      <c r="U85" s="4">
        <f t="shared" si="120"/>
        <v>1.00001061743356</v>
      </c>
      <c r="V85" s="4">
        <f t="shared" si="121"/>
        <v>0.00460811016013916</v>
      </c>
      <c r="W85" t="str">
        <f t="shared" si="108"/>
        <v>1-0,00241721775167605i</v>
      </c>
      <c r="X85" s="4">
        <f t="shared" si="122"/>
        <v>1.00000292146656</v>
      </c>
      <c r="Y85" s="4">
        <f t="shared" si="123"/>
        <v>-0.00241721304380512</v>
      </c>
      <c r="Z85" t="str">
        <f t="shared" si="109"/>
        <v>0,999999982140721+0,000758527458729532i</v>
      </c>
      <c r="AA85" s="4">
        <f t="shared" si="124"/>
        <v>1.00000026982264</v>
      </c>
      <c r="AB85" s="4">
        <f t="shared" si="125"/>
        <v>0.000758527326799888</v>
      </c>
      <c r="AC85" s="67" t="str">
        <f t="shared" si="126"/>
        <v>60,9977364235987-29,1723915597808i</v>
      </c>
      <c r="AD85" s="68">
        <f t="shared" si="127"/>
        <v>36.6008268997341</v>
      </c>
      <c r="AE85" s="31">
        <f t="shared" si="128"/>
        <v>-25.5596296493101</v>
      </c>
      <c r="AF85" s="32" t="str">
        <f t="shared" si="129"/>
        <v>249,914648392112</v>
      </c>
      <c r="AG85" s="32" t="str">
        <f t="shared" si="110"/>
        <v>1+0,308580989575665i</v>
      </c>
      <c r="AH85" s="32">
        <f t="shared" si="130"/>
        <v>1.04652865566476</v>
      </c>
      <c r="AI85" s="32">
        <f t="shared" si="131"/>
        <v>0.299310551581675</v>
      </c>
      <c r="AJ85" s="32" t="str">
        <f t="shared" si="111"/>
        <v>1+0,00460814277766327i</v>
      </c>
      <c r="AK85" s="32">
        <f t="shared" si="132"/>
        <v>1.00001061743356</v>
      </c>
      <c r="AL85" s="32">
        <f t="shared" si="133"/>
        <v>0.00460811016013916</v>
      </c>
      <c r="AM85" s="32" t="str">
        <f t="shared" si="112"/>
        <v>1-0,0004663322073885i</v>
      </c>
      <c r="AN85" s="32">
        <f t="shared" si="134"/>
        <v>1.00000010873286</v>
      </c>
      <c r="AO85" s="32">
        <f t="shared" si="135"/>
        <v>-0.000466332173584747</v>
      </c>
      <c r="AP85" s="30" t="str">
        <f t="shared" si="136"/>
        <v>228,478377407413-69,4689846646449i</v>
      </c>
      <c r="AQ85" s="32">
        <f t="shared" si="137"/>
        <v>47.5609049237384</v>
      </c>
      <c r="AR85" s="31">
        <f t="shared" si="138"/>
        <v>-16.9119249710529</v>
      </c>
      <c r="AS85" t="str">
        <f t="shared" si="113"/>
        <v>-0,000100699300699301</v>
      </c>
      <c r="AT85" t="str">
        <f t="shared" si="114"/>
        <v>0,0000660363317691924i</v>
      </c>
      <c r="AU85">
        <f t="shared" si="139"/>
        <v>6.60363317691924e-5</v>
      </c>
      <c r="AV85">
        <f t="shared" si="140"/>
        <v>1.5707963267949</v>
      </c>
      <c r="AW85" t="str">
        <f t="shared" si="115"/>
        <v>1+0,00338093906395022i</v>
      </c>
      <c r="AX85">
        <f t="shared" si="141"/>
        <v>1.00000571535814</v>
      </c>
      <c r="AY85">
        <f t="shared" si="142"/>
        <v>0.00338092618181668</v>
      </c>
      <c r="AZ85" t="str">
        <f t="shared" si="116"/>
        <v>1+0,161637661206301i</v>
      </c>
      <c r="BA85">
        <f t="shared" si="143"/>
        <v>1.01297913775173</v>
      </c>
      <c r="BB85">
        <f t="shared" si="144"/>
        <v>0.160251636527181</v>
      </c>
      <c r="BC85" s="30" t="str">
        <f t="shared" si="145"/>
        <v>-0,241324111462822+1,52572344924065i</v>
      </c>
      <c r="BD85" s="32">
        <f t="shared" si="146"/>
        <v>3.7768306578706</v>
      </c>
      <c r="BE85" s="31">
        <f t="shared" si="147"/>
        <v>98.9880296320086</v>
      </c>
      <c r="BF85" s="30" t="str">
        <f t="shared" si="148"/>
        <v>29,7887773295192+100,105678284495i</v>
      </c>
      <c r="BG85" s="68">
        <f t="shared" si="149"/>
        <v>40.3776575576048</v>
      </c>
      <c r="BH85" s="31">
        <f t="shared" si="150"/>
        <v>73.4283999826986</v>
      </c>
      <c r="BI85" s="30" t="str">
        <f t="shared" si="103"/>
        <v>50,8531174814766+365,359359053365i</v>
      </c>
      <c r="BJ85" s="68">
        <f t="shared" si="151"/>
        <v>51.3377355816091</v>
      </c>
      <c r="BK85" s="31">
        <f t="shared" si="104"/>
        <v>82.0761046609557</v>
      </c>
      <c r="BL85" s="32">
        <f t="shared" si="152"/>
        <v>40.3776575576048</v>
      </c>
      <c r="BM85" s="31">
        <f t="shared" si="153"/>
        <v>73.4283999826986</v>
      </c>
      <c r="BO85">
        <f t="shared" si="154"/>
        <v>0</v>
      </c>
      <c r="BP85">
        <f t="shared" si="155"/>
        <v>0</v>
      </c>
    </row>
    <row r="86" spans="14:68">
      <c r="N86" s="7">
        <v>68</v>
      </c>
      <c r="O86" s="18">
        <f t="shared" si="117"/>
        <v>47.8630092322639</v>
      </c>
      <c r="P86" s="86" t="str">
        <f t="shared" si="105"/>
        <v>75</v>
      </c>
      <c r="Q86" s="4" t="str">
        <f t="shared" si="106"/>
        <v>1+0,491195855397083i</v>
      </c>
      <c r="R86" s="4">
        <f t="shared" si="118"/>
        <v>1.1141244851269</v>
      </c>
      <c r="S86" s="4">
        <f t="shared" si="119"/>
        <v>0.456579519214784</v>
      </c>
      <c r="T86" s="4" t="str">
        <f t="shared" si="107"/>
        <v>1+0,004715480211812i</v>
      </c>
      <c r="U86" s="4">
        <f t="shared" si="120"/>
        <v>1.00001111781501</v>
      </c>
      <c r="V86" s="4">
        <f t="shared" si="121"/>
        <v>0.00471544526152621</v>
      </c>
      <c r="W86" t="str">
        <f t="shared" si="108"/>
        <v>1-0,00247352198610674i</v>
      </c>
      <c r="X86" s="4">
        <f t="shared" si="122"/>
        <v>1.00000305915083</v>
      </c>
      <c r="Y86" s="4">
        <f t="shared" si="123"/>
        <v>-0.00247351694153299</v>
      </c>
      <c r="Z86" t="str">
        <f t="shared" si="109"/>
        <v>0,99999998129904+0,000776195832970459i</v>
      </c>
      <c r="AA86" s="4">
        <f t="shared" si="124"/>
        <v>1.00000028253899</v>
      </c>
      <c r="AB86" s="4">
        <f t="shared" si="125"/>
        <v>0.0007761956916053</v>
      </c>
      <c r="AC86" s="67" t="str">
        <f t="shared" si="126"/>
        <v>60,4660998114854-29,5907661842442i</v>
      </c>
      <c r="AD86" s="68">
        <f t="shared" si="127"/>
        <v>36.5626715761182</v>
      </c>
      <c r="AE86" s="31">
        <f t="shared" si="128"/>
        <v>-26.0760991696181</v>
      </c>
      <c r="AF86" s="32" t="str">
        <f t="shared" si="129"/>
        <v>249,914648392112</v>
      </c>
      <c r="AG86" s="32" t="str">
        <f t="shared" si="110"/>
        <v>1+0,315768764183839i</v>
      </c>
      <c r="AH86" s="32">
        <f t="shared" si="130"/>
        <v>1.04867054523057</v>
      </c>
      <c r="AI86" s="32">
        <f t="shared" si="131"/>
        <v>0.305860039732075</v>
      </c>
      <c r="AJ86" s="32" t="str">
        <f t="shared" si="111"/>
        <v>1+0,004715480211812i</v>
      </c>
      <c r="AK86" s="32">
        <f t="shared" si="132"/>
        <v>1.00001111781501</v>
      </c>
      <c r="AL86" s="32">
        <f t="shared" si="133"/>
        <v>0.00471544526152621</v>
      </c>
      <c r="AM86" s="32" t="str">
        <f t="shared" si="112"/>
        <v>1-0,000477194479895468i</v>
      </c>
      <c r="AN86" s="32">
        <f t="shared" si="134"/>
        <v>1.00000011385728</v>
      </c>
      <c r="AO86" s="32">
        <f t="shared" si="135"/>
        <v>-0.000477194443674094</v>
      </c>
      <c r="AP86" s="30" t="str">
        <f t="shared" si="136"/>
        <v>227,559716662692-70,7970408201256i</v>
      </c>
      <c r="AQ86" s="32">
        <f t="shared" si="137"/>
        <v>47.5431504084246</v>
      </c>
      <c r="AR86" s="31">
        <f t="shared" si="138"/>
        <v>-17.2816555139708</v>
      </c>
      <c r="AS86" t="str">
        <f t="shared" si="113"/>
        <v>-0,000100699300699301</v>
      </c>
      <c r="AT86" t="str">
        <f t="shared" si="114"/>
        <v>0,0000675745155353417i</v>
      </c>
      <c r="AU86">
        <f t="shared" si="139"/>
        <v>6.75745155353417e-5</v>
      </c>
      <c r="AV86">
        <f t="shared" si="140"/>
        <v>1.5707963267949</v>
      </c>
      <c r="AW86" t="str">
        <f t="shared" si="115"/>
        <v>1+0,00345969125146852i</v>
      </c>
      <c r="AX86">
        <f t="shared" si="141"/>
        <v>1.00000598471387</v>
      </c>
      <c r="AY86">
        <f t="shared" si="142"/>
        <v>0.0034596774480182</v>
      </c>
      <c r="AZ86" t="str">
        <f t="shared" si="116"/>
        <v>1+0,165402686001058i</v>
      </c>
      <c r="BA86">
        <f t="shared" si="143"/>
        <v>1.01358672472382</v>
      </c>
      <c r="BB86">
        <f t="shared" si="144"/>
        <v>0.163918606881541</v>
      </c>
      <c r="BC86" s="30" t="str">
        <f t="shared" si="145"/>
        <v>-0,241323981459554+1,49103132003453i</v>
      </c>
      <c r="BD86" s="32">
        <f t="shared" si="146"/>
        <v>3.58203657097117</v>
      </c>
      <c r="BE86" s="31">
        <f t="shared" si="147"/>
        <v>99.1936194417284</v>
      </c>
      <c r="BF86" s="30" t="str">
        <f t="shared" si="148"/>
        <v>29,5288392146883+97,2978101292793i</v>
      </c>
      <c r="BG86" s="68">
        <f t="shared" si="149"/>
        <v>40.1447081470894</v>
      </c>
      <c r="BH86" s="31">
        <f t="shared" si="150"/>
        <v>73.1175202721103</v>
      </c>
      <c r="BI86" s="30" t="str">
        <f t="shared" si="103"/>
        <v>50,6449883837215+356,383688488525i</v>
      </c>
      <c r="BJ86" s="68">
        <f t="shared" si="151"/>
        <v>51.1251869793958</v>
      </c>
      <c r="BK86" s="31">
        <f t="shared" si="104"/>
        <v>81.9119639277576</v>
      </c>
      <c r="BL86" s="32">
        <f t="shared" si="152"/>
        <v>40.1447081470894</v>
      </c>
      <c r="BM86" s="31">
        <f t="shared" si="153"/>
        <v>73.1175202721103</v>
      </c>
      <c r="BO86">
        <f t="shared" si="154"/>
        <v>0</v>
      </c>
      <c r="BP86">
        <f t="shared" si="155"/>
        <v>0</v>
      </c>
    </row>
    <row r="87" spans="14:68">
      <c r="N87" s="7">
        <v>69</v>
      </c>
      <c r="O87" s="18">
        <f t="shared" si="117"/>
        <v>48.9778819368446</v>
      </c>
      <c r="P87" s="86" t="str">
        <f t="shared" si="105"/>
        <v>75</v>
      </c>
      <c r="Q87" s="4" t="str">
        <f t="shared" si="106"/>
        <v>1+0,502637276665185i</v>
      </c>
      <c r="R87" s="4">
        <f t="shared" si="118"/>
        <v>1.11921590048274</v>
      </c>
      <c r="S87" s="4">
        <f t="shared" si="119"/>
        <v>0.465755203884719</v>
      </c>
      <c r="T87" s="4" t="str">
        <f t="shared" si="107"/>
        <v>1+0,00482531785598578i</v>
      </c>
      <c r="U87" s="4">
        <f t="shared" si="120"/>
        <v>1.00001164177844</v>
      </c>
      <c r="V87" s="4">
        <f t="shared" si="121"/>
        <v>0.00482528040610338</v>
      </c>
      <c r="W87" t="str">
        <f t="shared" si="108"/>
        <v>1-0,00253113771463539i</v>
      </c>
      <c r="X87" s="4">
        <f t="shared" si="122"/>
        <v>1.00000320332393</v>
      </c>
      <c r="Y87" s="4">
        <f t="shared" si="123"/>
        <v>-0.00253113230927816</v>
      </c>
      <c r="Z87" t="str">
        <f t="shared" si="109"/>
        <v>0,99999998041769+0,000794275756516192i</v>
      </c>
      <c r="AA87" s="4">
        <f t="shared" si="124"/>
        <v>1.00000029585464</v>
      </c>
      <c r="AB87" s="4">
        <f t="shared" si="125"/>
        <v>0.000794275605040698</v>
      </c>
      <c r="AC87" s="67" t="str">
        <f t="shared" si="126"/>
        <v>59,9192872257323-30,0051753194996i</v>
      </c>
      <c r="AD87" s="68">
        <f t="shared" si="127"/>
        <v>36.5230742110637</v>
      </c>
      <c r="AE87" s="31">
        <f t="shared" si="128"/>
        <v>-26.5998711052625</v>
      </c>
      <c r="AF87" s="32" t="str">
        <f t="shared" si="129"/>
        <v>249,914648392112</v>
      </c>
      <c r="AG87" s="32" t="str">
        <f t="shared" si="110"/>
        <v>1+0,323123963570476i</v>
      </c>
      <c r="AH87" s="32">
        <f t="shared" si="130"/>
        <v>1.05090870004653</v>
      </c>
      <c r="AI87" s="32">
        <f t="shared" si="131"/>
        <v>0.31253415368012</v>
      </c>
      <c r="AJ87" s="32" t="str">
        <f t="shared" si="111"/>
        <v>1+0,00482531785598578i</v>
      </c>
      <c r="AK87" s="32">
        <f t="shared" si="132"/>
        <v>1.00001164177844</v>
      </c>
      <c r="AL87" s="32">
        <f t="shared" si="133"/>
        <v>0.00482528040610338</v>
      </c>
      <c r="AM87" s="32" t="str">
        <f t="shared" si="112"/>
        <v>1-0,00048830976723209i</v>
      </c>
      <c r="AN87" s="32">
        <f t="shared" si="134"/>
        <v>1.00000011922321</v>
      </c>
      <c r="AO87" s="32">
        <f t="shared" si="135"/>
        <v>-0.000488309728420189</v>
      </c>
      <c r="AP87" s="30" t="str">
        <f t="shared" si="136"/>
        <v>226,605762663074-72,1378703480284i</v>
      </c>
      <c r="AQ87" s="32">
        <f t="shared" si="137"/>
        <v>47.5246366547073</v>
      </c>
      <c r="AR87" s="31">
        <f t="shared" si="138"/>
        <v>-17.6583978438607</v>
      </c>
      <c r="AS87" t="str">
        <f t="shared" si="113"/>
        <v>-0,000100699300699301</v>
      </c>
      <c r="AT87" t="str">
        <f t="shared" si="114"/>
        <v>0,000069148528204082i</v>
      </c>
      <c r="AU87">
        <f t="shared" si="139"/>
        <v>6.9148528204082e-5</v>
      </c>
      <c r="AV87">
        <f t="shared" si="140"/>
        <v>1.5707963267949</v>
      </c>
      <c r="AW87" t="str">
        <f t="shared" si="115"/>
        <v>1+0,00354027781308276i</v>
      </c>
      <c r="AX87">
        <f t="shared" si="141"/>
        <v>1.00000626676386</v>
      </c>
      <c r="AY87">
        <f t="shared" si="142"/>
        <v>0.00354026302242427</v>
      </c>
      <c r="AZ87" t="str">
        <f t="shared" si="116"/>
        <v>1+0,169255409489297i</v>
      </c>
      <c r="BA87">
        <f t="shared" si="143"/>
        <v>1.01422255626731</v>
      </c>
      <c r="BB87">
        <f t="shared" si="144"/>
        <v>0.167666391966108</v>
      </c>
      <c r="BC87" s="30" t="str">
        <f t="shared" si="145"/>
        <v>-0,241323845329574+1,45712975532803i</v>
      </c>
      <c r="BD87" s="32">
        <f t="shared" si="146"/>
        <v>3.38748114501831</v>
      </c>
      <c r="BE87" s="31">
        <f t="shared" si="147"/>
        <v>99.403734496293</v>
      </c>
      <c r="BF87" s="30" t="str">
        <f t="shared" si="148"/>
        <v>29,2614809691562+94,5511406225509i</v>
      </c>
      <c r="BG87" s="68">
        <f t="shared" si="149"/>
        <v>39.910555356082</v>
      </c>
      <c r="BH87" s="31">
        <f t="shared" si="150"/>
        <v>72.8038633910305</v>
      </c>
      <c r="BI87" s="30" t="str">
        <f t="shared" si="103"/>
        <v>50,428863350414+347,602587771439i</v>
      </c>
      <c r="BJ87" s="68">
        <f t="shared" si="151"/>
        <v>50.9121177997256</v>
      </c>
      <c r="BK87" s="31">
        <f t="shared" si="104"/>
        <v>81.7453366524323</v>
      </c>
      <c r="BL87" s="32">
        <f t="shared" si="152"/>
        <v>39.910555356082</v>
      </c>
      <c r="BM87" s="31">
        <f t="shared" si="153"/>
        <v>72.8038633910305</v>
      </c>
      <c r="BO87">
        <f t="shared" si="154"/>
        <v>0</v>
      </c>
      <c r="BP87">
        <f t="shared" si="155"/>
        <v>0</v>
      </c>
    </row>
    <row r="88" spans="14:68">
      <c r="N88" s="7">
        <v>70</v>
      </c>
      <c r="O88" s="18">
        <f t="shared" si="117"/>
        <v>50.1187233627272</v>
      </c>
      <c r="P88" s="86" t="str">
        <f t="shared" si="105"/>
        <v>75</v>
      </c>
      <c r="Q88" s="4" t="str">
        <f t="shared" si="106"/>
        <v>1+0,514345202870567i</v>
      </c>
      <c r="R88" s="4">
        <f t="shared" si="118"/>
        <v>1.12452255989641</v>
      </c>
      <c r="S88" s="4">
        <f t="shared" si="119"/>
        <v>0.475057800650681</v>
      </c>
      <c r="T88" s="4" t="str">
        <f t="shared" si="107"/>
        <v>1+0,00493771394755745i</v>
      </c>
      <c r="U88" s="4">
        <f t="shared" si="120"/>
        <v>1.00001219043521</v>
      </c>
      <c r="V88" s="4">
        <f t="shared" si="121"/>
        <v>0.0049376738193119</v>
      </c>
      <c r="W88" t="str">
        <f t="shared" si="108"/>
        <v>1-0,00259009548588393i</v>
      </c>
      <c r="X88" s="4">
        <f t="shared" si="122"/>
        <v>1.00000335429169</v>
      </c>
      <c r="Y88" s="4">
        <f t="shared" si="123"/>
        <v>-0.00259008969394036</v>
      </c>
      <c r="Z88" t="str">
        <f t="shared" si="109"/>
        <v>0,999999979494805+0,000812776815581515i</v>
      </c>
      <c r="AA88" s="4">
        <f t="shared" si="124"/>
        <v>1.00000030979783</v>
      </c>
      <c r="AB88" s="4">
        <f t="shared" si="125"/>
        <v>0.000812776653272601</v>
      </c>
      <c r="AC88" s="67" t="str">
        <f t="shared" si="126"/>
        <v>59,3572441580028-30,4150015193667i</v>
      </c>
      <c r="AD88" s="68">
        <f t="shared" si="127"/>
        <v>36.4819941446794</v>
      </c>
      <c r="AE88" s="31">
        <f t="shared" si="128"/>
        <v>-27.1308690115349</v>
      </c>
      <c r="AF88" s="32" t="str">
        <f t="shared" si="129"/>
        <v>249,914648392112</v>
      </c>
      <c r="AG88" s="32" t="str">
        <f t="shared" si="110"/>
        <v>1+0,33065048755965i</v>
      </c>
      <c r="AH88" s="32">
        <f t="shared" si="130"/>
        <v>1.05324723827002</v>
      </c>
      <c r="AI88" s="32">
        <f t="shared" si="131"/>
        <v>0.319334052970064</v>
      </c>
      <c r="AJ88" s="32" t="str">
        <f t="shared" si="111"/>
        <v>1+0,00493771394755745i</v>
      </c>
      <c r="AK88" s="32">
        <f t="shared" si="132"/>
        <v>1.00001219043521</v>
      </c>
      <c r="AL88" s="32">
        <f t="shared" si="133"/>
        <v>0.0049376738193119</v>
      </c>
      <c r="AM88" s="32" t="str">
        <f t="shared" si="112"/>
        <v>1-0,000499683962870845i</v>
      </c>
      <c r="AN88" s="32">
        <f t="shared" si="134"/>
        <v>1.00000012484202</v>
      </c>
      <c r="AO88" s="32">
        <f t="shared" si="135"/>
        <v>-0.000499683921283144</v>
      </c>
      <c r="AP88" s="30" t="str">
        <f t="shared" si="136"/>
        <v>225,615512517776-73,4907505118465i</v>
      </c>
      <c r="AQ88" s="32">
        <f t="shared" si="137"/>
        <v>47.5053346363757</v>
      </c>
      <c r="AR88" s="31">
        <f t="shared" si="138"/>
        <v>-18.042215399313</v>
      </c>
      <c r="AS88" t="str">
        <f t="shared" si="113"/>
        <v>-0,000100699300699301</v>
      </c>
      <c r="AT88" t="str">
        <f t="shared" si="114"/>
        <v>0,0000707592043377651i</v>
      </c>
      <c r="AU88">
        <f t="shared" si="139"/>
        <v>7.07592043377651e-5</v>
      </c>
      <c r="AV88">
        <f t="shared" si="140"/>
        <v>1.5707963267949</v>
      </c>
      <c r="AW88" t="str">
        <f t="shared" si="115"/>
        <v>1+0,00362274147685463i</v>
      </c>
      <c r="AX88">
        <f t="shared" si="141"/>
        <v>1.00000656210637</v>
      </c>
      <c r="AY88">
        <f t="shared" si="142"/>
        <v>0.00362272562838414</v>
      </c>
      <c r="AZ88" t="str">
        <f t="shared" si="116"/>
        <v>1+0,173197874436007i</v>
      </c>
      <c r="BA88">
        <f t="shared" si="143"/>
        <v>1.01488792667425</v>
      </c>
      <c r="BB88">
        <f t="shared" si="144"/>
        <v>0.171496557565895</v>
      </c>
      <c r="BC88" s="30" t="str">
        <f t="shared" si="145"/>
        <v>-0,241323702784149+1,42400078005975i</v>
      </c>
      <c r="BD88" s="32">
        <f t="shared" si="146"/>
        <v>3.19317500106439</v>
      </c>
      <c r="BE88" s="31">
        <f t="shared" si="147"/>
        <v>99.6184620607079</v>
      </c>
      <c r="BF88" s="30" t="str">
        <f t="shared" si="148"/>
        <v>28,9866759418246+91,8646227700321i</v>
      </c>
      <c r="BG88" s="68">
        <f t="shared" si="149"/>
        <v>39.6751691457438</v>
      </c>
      <c r="BH88" s="31">
        <f t="shared" si="150"/>
        <v>72.4875930491731</v>
      </c>
      <c r="BI88" s="30" t="str">
        <f t="shared" si="103"/>
        <v>50,2045151697127+339,011725852798i</v>
      </c>
      <c r="BJ88" s="68">
        <f t="shared" si="151"/>
        <v>50.69850963744</v>
      </c>
      <c r="BK88" s="31">
        <f t="shared" si="104"/>
        <v>81.5762466613949</v>
      </c>
      <c r="BL88" s="32">
        <f t="shared" si="152"/>
        <v>39.6751691457438</v>
      </c>
      <c r="BM88" s="31">
        <f t="shared" si="153"/>
        <v>72.4875930491731</v>
      </c>
      <c r="BO88">
        <f t="shared" si="154"/>
        <v>0</v>
      </c>
      <c r="BP88">
        <f t="shared" si="155"/>
        <v>0</v>
      </c>
    </row>
    <row r="89" spans="14:68">
      <c r="N89" s="7">
        <v>71</v>
      </c>
      <c r="O89" s="18">
        <f t="shared" si="117"/>
        <v>51.2861383991365</v>
      </c>
      <c r="P89" s="86" t="str">
        <f t="shared" si="105"/>
        <v>75</v>
      </c>
      <c r="Q89" s="4" t="str">
        <f t="shared" si="106"/>
        <v>1+0,526325841710674i</v>
      </c>
      <c r="R89" s="4">
        <f t="shared" si="118"/>
        <v>1.13005260570137</v>
      </c>
      <c r="S89" s="4">
        <f t="shared" si="119"/>
        <v>0.484485800712769</v>
      </c>
      <c r="T89" s="4" t="str">
        <f t="shared" si="107"/>
        <v>1+0,00505272808042247i</v>
      </c>
      <c r="U89" s="4">
        <f t="shared" si="120"/>
        <v>1.00001276494906</v>
      </c>
      <c r="V89" s="4">
        <f t="shared" si="121"/>
        <v>0.00505268508226232</v>
      </c>
      <c r="W89" t="str">
        <f t="shared" si="108"/>
        <v>1-0,00265042656004304i</v>
      </c>
      <c r="X89" s="4">
        <f t="shared" si="122"/>
        <v>1.00000351237431</v>
      </c>
      <c r="Y89" s="4">
        <f t="shared" si="123"/>
        <v>-0.00265042035386487</v>
      </c>
      <c r="Z89" t="str">
        <f t="shared" si="109"/>
        <v>0,999999978528425+0,000831708819672831i</v>
      </c>
      <c r="AA89" s="4">
        <f t="shared" si="124"/>
        <v>1.00000032439815</v>
      </c>
      <c r="AB89" s="4">
        <f t="shared" si="125"/>
        <v>0.000831708645755699</v>
      </c>
      <c r="AC89" s="67" t="str">
        <f t="shared" si="126"/>
        <v>58,7799462050197-30,8196111251659i</v>
      </c>
      <c r="AD89" s="68">
        <f t="shared" si="127"/>
        <v>36.4393906117076</v>
      </c>
      <c r="AE89" s="31">
        <f t="shared" si="128"/>
        <v>-27.669005379834</v>
      </c>
      <c r="AF89" s="32" t="str">
        <f t="shared" si="129"/>
        <v>249,914648392112</v>
      </c>
      <c r="AG89" s="32" t="str">
        <f t="shared" si="110"/>
        <v>1+0,338352326814004i</v>
      </c>
      <c r="AH89" s="32">
        <f t="shared" si="130"/>
        <v>1.05569043618878</v>
      </c>
      <c r="AI89" s="32">
        <f t="shared" si="131"/>
        <v>0.326260826791133</v>
      </c>
      <c r="AJ89" s="32" t="str">
        <f t="shared" si="111"/>
        <v>1+0,00505272808042247i</v>
      </c>
      <c r="AK89" s="32">
        <f t="shared" si="132"/>
        <v>1.00001276494906</v>
      </c>
      <c r="AL89" s="32">
        <f t="shared" si="133"/>
        <v>0.00505268508226232</v>
      </c>
      <c r="AM89" s="32" t="str">
        <f t="shared" si="112"/>
        <v>1-0,000511323097560812i</v>
      </c>
      <c r="AN89" s="32">
        <f t="shared" si="134"/>
        <v>1.00000013072565</v>
      </c>
      <c r="AO89" s="32">
        <f t="shared" si="135"/>
        <v>-0.000511323052998788</v>
      </c>
      <c r="AP89" s="30" t="str">
        <f t="shared" si="136"/>
        <v>224,587965471341-74,8548970621533i</v>
      </c>
      <c r="AQ89" s="32">
        <f t="shared" si="137"/>
        <v>47.4852145148165</v>
      </c>
      <c r="AR89" s="31">
        <f t="shared" si="138"/>
        <v>-18.4331675180629</v>
      </c>
      <c r="AS89" t="str">
        <f t="shared" si="113"/>
        <v>-0,000100699300699301</v>
      </c>
      <c r="AT89" t="str">
        <f t="shared" si="114"/>
        <v>0,0000724073979381971i</v>
      </c>
      <c r="AU89">
        <f t="shared" si="139"/>
        <v>7.24073979381971e-5</v>
      </c>
      <c r="AV89">
        <f t="shared" si="140"/>
        <v>1.5707963267949</v>
      </c>
      <c r="AW89" t="str">
        <f t="shared" si="115"/>
        <v>1+0,00370712596611017i</v>
      </c>
      <c r="AX89">
        <f t="shared" si="141"/>
        <v>1.00000687136786</v>
      </c>
      <c r="AY89">
        <f t="shared" si="142"/>
        <v>0.00370710898417438</v>
      </c>
      <c r="AZ89" t="str">
        <f t="shared" si="116"/>
        <v>1+0,177232171188288i</v>
      </c>
      <c r="BA89">
        <f t="shared" si="143"/>
        <v>1.01558418779741</v>
      </c>
      <c r="BB89">
        <f t="shared" si="144"/>
        <v>0.175410684746759</v>
      </c>
      <c r="BC89" s="30" t="str">
        <f t="shared" si="145"/>
        <v>-0,241323553520945+1,39162682880525i</v>
      </c>
      <c r="BD89" s="32">
        <f t="shared" si="146"/>
        <v>2.99912920289649</v>
      </c>
      <c r="BE89" s="31">
        <f t="shared" si="147"/>
        <v>99.8378902185009</v>
      </c>
      <c r="BF89" s="30" t="str">
        <f t="shared" si="148"/>
        <v>28,7044122011603+89,2372482094934i</v>
      </c>
      <c r="BG89" s="68">
        <f t="shared" si="149"/>
        <v>39.438519814604</v>
      </c>
      <c r="BH89" s="31">
        <f t="shared" si="150"/>
        <v>72.1688848386669</v>
      </c>
      <c r="BI89" s="30" t="str">
        <f t="shared" si="103"/>
        <v>49,9717171135645+330,606887934189i</v>
      </c>
      <c r="BJ89" s="68">
        <f t="shared" si="151"/>
        <v>50.484343717713</v>
      </c>
      <c r="BK89" s="31">
        <f t="shared" si="104"/>
        <v>81.404722700438</v>
      </c>
      <c r="BL89" s="32">
        <f t="shared" si="152"/>
        <v>39.438519814604</v>
      </c>
      <c r="BM89" s="31">
        <f t="shared" si="153"/>
        <v>72.1688848386669</v>
      </c>
      <c r="BO89">
        <f t="shared" si="154"/>
        <v>0</v>
      </c>
      <c r="BP89">
        <f t="shared" si="155"/>
        <v>0</v>
      </c>
    </row>
    <row r="90" spans="14:68">
      <c r="N90" s="7">
        <v>72</v>
      </c>
      <c r="O90" s="18">
        <f t="shared" si="117"/>
        <v>52.4807460249773</v>
      </c>
      <c r="P90" s="86" t="str">
        <f t="shared" si="105"/>
        <v>75</v>
      </c>
      <c r="Q90" s="4" t="str">
        <f t="shared" si="106"/>
        <v>1+0,538585545478803i</v>
      </c>
      <c r="R90" s="4">
        <f t="shared" si="118"/>
        <v>1.13581441697079</v>
      </c>
      <c r="S90" s="4">
        <f t="shared" si="119"/>
        <v>0.494037497823587</v>
      </c>
      <c r="T90" s="4" t="str">
        <f t="shared" si="107"/>
        <v>1+0,00517042123659651i</v>
      </c>
      <c r="U90" s="4">
        <f t="shared" si="120"/>
        <v>1.00001336653855</v>
      </c>
      <c r="V90" s="4">
        <f t="shared" si="121"/>
        <v>0.00517037516327108</v>
      </c>
      <c r="W90" t="str">
        <f t="shared" si="108"/>
        <v>1-0,00271216292544683i</v>
      </c>
      <c r="X90" s="4">
        <f t="shared" si="122"/>
        <v>1.0000036779071</v>
      </c>
      <c r="Y90" s="4">
        <f t="shared" si="123"/>
        <v>-0.00271215627540842</v>
      </c>
      <c r="Z90" t="str">
        <f t="shared" si="109"/>
        <v>0,9999999775165+0,000851081806789307i</v>
      </c>
      <c r="AA90" s="4">
        <f t="shared" si="124"/>
        <v>1.00000033968656</v>
      </c>
      <c r="AB90" s="4">
        <f t="shared" si="125"/>
        <v>0.000851081620433747</v>
      </c>
      <c r="AC90" s="67" t="str">
        <f t="shared" si="126"/>
        <v>58,1874008335828-31,2183557612626i</v>
      </c>
      <c r="AD90" s="68">
        <f t="shared" si="127"/>
        <v>36.3952228244485</v>
      </c>
      <c r="AE90" s="31">
        <f t="shared" si="128"/>
        <v>-28.2141813639733</v>
      </c>
      <c r="AF90" s="32" t="str">
        <f t="shared" si="129"/>
        <v>249,914648392112</v>
      </c>
      <c r="AG90" s="32" t="str">
        <f t="shared" si="110"/>
        <v>1+0,346233564950659i</v>
      </c>
      <c r="AH90" s="32">
        <f t="shared" si="130"/>
        <v>1.05824273278792</v>
      </c>
      <c r="AI90" s="32">
        <f t="shared" si="131"/>
        <v>0.333315488137588</v>
      </c>
      <c r="AJ90" s="32" t="str">
        <f t="shared" si="111"/>
        <v>1+0,00517042123659651i</v>
      </c>
      <c r="AK90" s="32">
        <f t="shared" si="132"/>
        <v>1.00001336653855</v>
      </c>
      <c r="AL90" s="32">
        <f t="shared" si="133"/>
        <v>0.00517037516327108</v>
      </c>
      <c r="AM90" s="32" t="str">
        <f t="shared" si="112"/>
        <v>1-0,000523233342525268i</v>
      </c>
      <c r="AN90" s="32">
        <f t="shared" si="134"/>
        <v>1.00000013688656</v>
      </c>
      <c r="AO90" s="32">
        <f t="shared" si="135"/>
        <v>-0.000523233294776199</v>
      </c>
      <c r="AP90" s="30" t="str">
        <f t="shared" si="136"/>
        <v>223,522126038409-76,2294622150699i</v>
      </c>
      <c r="AQ90" s="32">
        <f t="shared" si="137"/>
        <v>47.4642456420232</v>
      </c>
      <c r="AR90" s="31">
        <f t="shared" si="138"/>
        <v>-18.8313091007633</v>
      </c>
      <c r="AS90" t="str">
        <f t="shared" si="113"/>
        <v>-0,000100699300699301</v>
      </c>
      <c r="AT90" t="str">
        <f t="shared" si="114"/>
        <v>0,000074093982899441i</v>
      </c>
      <c r="AU90">
        <f t="shared" si="139"/>
        <v>7.4093982899441e-5</v>
      </c>
      <c r="AV90">
        <f t="shared" si="140"/>
        <v>1.5707963267949</v>
      </c>
      <c r="AW90" t="str">
        <f t="shared" si="115"/>
        <v>1+0,00379347602262256i</v>
      </c>
      <c r="AX90">
        <f t="shared" si="141"/>
        <v>1.00000719520428</v>
      </c>
      <c r="AY90">
        <f t="shared" si="142"/>
        <v>0.0037934578261576</v>
      </c>
      <c r="AZ90" t="str">
        <f t="shared" si="116"/>
        <v>1+0,181360438783678i</v>
      </c>
      <c r="BA90">
        <f t="shared" si="143"/>
        <v>1.016312751448</v>
      </c>
      <c r="BB90">
        <f t="shared" si="144"/>
        <v>0.179410368864225</v>
      </c>
      <c r="BC90" s="30" t="str">
        <f t="shared" si="145"/>
        <v>-0,24132339722338+1,35999073646357i</v>
      </c>
      <c r="BD90" s="32">
        <f t="shared" si="146"/>
        <v>2.80535527269863</v>
      </c>
      <c r="BE90" s="31">
        <f t="shared" si="147"/>
        <v>100.062107813606</v>
      </c>
      <c r="BF90" s="30" t="str">
        <f t="shared" si="148"/>
        <v>28,4146933981825+86,6680457806012i</v>
      </c>
      <c r="BG90" s="68">
        <f t="shared" si="149"/>
        <v>39.2005780971471</v>
      </c>
      <c r="BH90" s="31">
        <f t="shared" si="150"/>
        <v>71.8479264496324</v>
      </c>
      <c r="BI90" s="30" t="str">
        <f t="shared" si="103"/>
        <v>49,7302436479134+322,383973597131i</v>
      </c>
      <c r="BJ90" s="68">
        <f t="shared" si="151"/>
        <v>50.2696009147218</v>
      </c>
      <c r="BK90" s="31">
        <f t="shared" si="104"/>
        <v>81.2307987128424</v>
      </c>
      <c r="BL90" s="32">
        <f t="shared" si="152"/>
        <v>39.2005780971471</v>
      </c>
      <c r="BM90" s="31">
        <f t="shared" si="153"/>
        <v>71.8479264496324</v>
      </c>
      <c r="BO90">
        <f t="shared" si="154"/>
        <v>0</v>
      </c>
      <c r="BP90">
        <f t="shared" si="155"/>
        <v>0</v>
      </c>
    </row>
    <row r="91" spans="14:68">
      <c r="N91" s="7">
        <v>73</v>
      </c>
      <c r="O91" s="18">
        <f t="shared" si="117"/>
        <v>53.7031796370253</v>
      </c>
      <c r="P91" s="86" t="str">
        <f t="shared" si="105"/>
        <v>75</v>
      </c>
      <c r="Q91" s="4" t="str">
        <f t="shared" si="106"/>
        <v>1+0,551130814432165i</v>
      </c>
      <c r="R91" s="4">
        <f t="shared" si="118"/>
        <v>1.14181661163983</v>
      </c>
      <c r="S91" s="4">
        <f t="shared" si="119"/>
        <v>0.503710984009351</v>
      </c>
      <c r="T91" s="4" t="str">
        <f t="shared" si="107"/>
        <v>1+0,00529085581854879i</v>
      </c>
      <c r="U91" s="4">
        <f t="shared" si="120"/>
        <v>1.0000139964797</v>
      </c>
      <c r="V91" s="4">
        <f t="shared" si="121"/>
        <v>0.00529080645012845</v>
      </c>
      <c r="W91" t="str">
        <f t="shared" si="108"/>
        <v>1-0,00277533731553341i</v>
      </c>
      <c r="X91" s="4">
        <f t="shared" si="122"/>
        <v>1.00000385124119</v>
      </c>
      <c r="Y91" s="4">
        <f t="shared" si="123"/>
        <v>-0.00277533018989036</v>
      </c>
      <c r="Z91" t="str">
        <f t="shared" si="109"/>
        <v>0,999999976456886+0,000870906048745139i</v>
      </c>
      <c r="AA91" s="4">
        <f t="shared" si="124"/>
        <v>1.0000003556955</v>
      </c>
      <c r="AB91" s="4">
        <f t="shared" si="125"/>
        <v>0.000870905849061562</v>
      </c>
      <c r="AC91" s="67" t="str">
        <f t="shared" si="126"/>
        <v>57,5796490817685-31,6105740103942i</v>
      </c>
      <c r="AD91" s="68">
        <f t="shared" si="127"/>
        <v>36.3494500603256</v>
      </c>
      <c r="AE91" s="31">
        <f t="shared" si="128"/>
        <v>-28.766286534445</v>
      </c>
      <c r="AF91" s="32" t="str">
        <f t="shared" si="129"/>
        <v>249,914648392112</v>
      </c>
      <c r="AG91" s="32" t="str">
        <f t="shared" si="110"/>
        <v>1+0,354298380706392i</v>
      </c>
      <c r="AH91" s="32">
        <f t="shared" si="130"/>
        <v>1.06090873432693</v>
      </c>
      <c r="AI91" s="32">
        <f t="shared" si="131"/>
        <v>0.340498967784987</v>
      </c>
      <c r="AJ91" s="32" t="str">
        <f t="shared" si="111"/>
        <v>1+0,00529085581854879i</v>
      </c>
      <c r="AK91" s="32">
        <f t="shared" si="132"/>
        <v>1.0000139964797</v>
      </c>
      <c r="AL91" s="32">
        <f t="shared" si="133"/>
        <v>0.00529080645012845</v>
      </c>
      <c r="AM91" s="32" t="str">
        <f t="shared" si="112"/>
        <v>1-0,000535421012733742i</v>
      </c>
      <c r="AN91" s="32">
        <f t="shared" si="134"/>
        <v>1.00000014333782</v>
      </c>
      <c r="AO91" s="32">
        <f t="shared" si="135"/>
        <v>-0.000535420961569693</v>
      </c>
      <c r="AP91" s="30" t="str">
        <f t="shared" si="136"/>
        <v>222,417007387901-77,6135327416482i</v>
      </c>
      <c r="AQ91" s="32">
        <f t="shared" si="137"/>
        <v>47.4423965662484</v>
      </c>
      <c r="AR91" s="31">
        <f t="shared" si="138"/>
        <v>-19.2366902641886</v>
      </c>
      <c r="AS91" t="str">
        <f t="shared" si="113"/>
        <v>-0,000100699300699301</v>
      </c>
      <c r="AT91" t="str">
        <f t="shared" si="114"/>
        <v>0,000075819853471168i</v>
      </c>
      <c r="AU91">
        <f t="shared" si="139"/>
        <v>7.5819853471168e-5</v>
      </c>
      <c r="AV91">
        <f t="shared" si="140"/>
        <v>1.5707963267949</v>
      </c>
      <c r="AW91" t="str">
        <f t="shared" si="115"/>
        <v>1+0,00388183743033473i</v>
      </c>
      <c r="AX91">
        <f t="shared" si="141"/>
        <v>1.00000753430253</v>
      </c>
      <c r="AY91">
        <f t="shared" si="142"/>
        <v>0.00388181793247917</v>
      </c>
      <c r="AZ91" t="str">
        <f t="shared" si="116"/>
        <v>1+0,1855848660843i</v>
      </c>
      <c r="BA91">
        <f t="shared" si="143"/>
        <v>1.01707509187844</v>
      </c>
      <c r="BB91">
        <f t="shared" si="144"/>
        <v>0.183497218471946</v>
      </c>
      <c r="BC91" s="30" t="str">
        <f t="shared" si="145"/>
        <v>-0,241323233559956+1,32907572915607i</v>
      </c>
      <c r="BD91" s="32">
        <f t="shared" si="146"/>
        <v>2.6118652070032</v>
      </c>
      <c r="BE91" s="31">
        <f t="shared" si="147"/>
        <v>100.291204386463</v>
      </c>
      <c r="BF91" s="30" t="str">
        <f t="shared" si="148"/>
        <v>28,1175395982467+84,1560800227767i</v>
      </c>
      <c r="BG91" s="68">
        <f t="shared" si="149"/>
        <v>38.9613152673288</v>
      </c>
      <c r="BH91" s="31">
        <f t="shared" si="150"/>
        <v>71.5249178520182</v>
      </c>
      <c r="BI91" s="30" t="str">
        <f t="shared" si="103"/>
        <v>49,4798711994077+314,338994960012i</v>
      </c>
      <c r="BJ91" s="68">
        <f t="shared" si="151"/>
        <v>50.0542617732516</v>
      </c>
      <c r="BK91" s="31">
        <f t="shared" si="104"/>
        <v>81.0545141222747</v>
      </c>
      <c r="BL91" s="32">
        <f t="shared" si="152"/>
        <v>38.9613152673288</v>
      </c>
      <c r="BM91" s="31">
        <f t="shared" si="153"/>
        <v>71.5249178520182</v>
      </c>
      <c r="BO91">
        <f t="shared" si="154"/>
        <v>0</v>
      </c>
      <c r="BP91">
        <f t="shared" si="155"/>
        <v>0</v>
      </c>
    </row>
    <row r="92" spans="14:68">
      <c r="N92" s="7">
        <v>74</v>
      </c>
      <c r="O92" s="18">
        <f t="shared" si="117"/>
        <v>54.9540873857625</v>
      </c>
      <c r="P92" s="86" t="str">
        <f t="shared" si="105"/>
        <v>75</v>
      </c>
      <c r="Q92" s="4" t="str">
        <f t="shared" si="106"/>
        <v>1+0,56396830023842i</v>
      </c>
      <c r="R92" s="4">
        <f t="shared" si="118"/>
        <v>1.14806804836378</v>
      </c>
      <c r="S92" s="4">
        <f t="shared" si="119"/>
        <v>0.51350414583465</v>
      </c>
      <c r="T92" s="4" t="str">
        <f t="shared" si="107"/>
        <v>1+0,00541409568228884i</v>
      </c>
      <c r="U92" s="4">
        <f t="shared" si="120"/>
        <v>1.00001465610863</v>
      </c>
      <c r="V92" s="4">
        <f t="shared" si="121"/>
        <v>0.00541404278311525</v>
      </c>
      <c r="W92" t="str">
        <f t="shared" si="108"/>
        <v>1-0,00283998322620062i</v>
      </c>
      <c r="X92" s="4">
        <f t="shared" si="122"/>
        <v>1.00000403274423</v>
      </c>
      <c r="Y92" s="4">
        <f t="shared" si="123"/>
        <v>-0.00283997559093819</v>
      </c>
      <c r="Z92" t="str">
        <f t="shared" si="109"/>
        <v>0,999999975347333+0,000891192056615823i</v>
      </c>
      <c r="AA92" s="4">
        <f t="shared" si="124"/>
        <v>1.0000003724589</v>
      </c>
      <c r="AB92" s="4">
        <f t="shared" si="125"/>
        <v>0.00089119184265102</v>
      </c>
      <c r="AC92" s="67" t="str">
        <f t="shared" si="126"/>
        <v>56,956767177932-31,9955932689534i</v>
      </c>
      <c r="AD92" s="68">
        <f t="shared" si="127"/>
        <v>36.3020317538967</v>
      </c>
      <c r="AE92" s="31">
        <f t="shared" si="128"/>
        <v>-29.3251986638213</v>
      </c>
      <c r="AF92" s="32" t="str">
        <f t="shared" si="129"/>
        <v>249,914648392112</v>
      </c>
      <c r="AG92" s="32" t="str">
        <f t="shared" si="110"/>
        <v>1+0,36255105015327i</v>
      </c>
      <c r="AH92" s="32">
        <f t="shared" si="130"/>
        <v>1.0636932189157</v>
      </c>
      <c r="AI92" s="32">
        <f t="shared" si="131"/>
        <v>0.347812108094114</v>
      </c>
      <c r="AJ92" s="32" t="str">
        <f t="shared" si="111"/>
        <v>1+0,00541409568228884i</v>
      </c>
      <c r="AK92" s="32">
        <f t="shared" si="132"/>
        <v>1.00001465610863</v>
      </c>
      <c r="AL92" s="32">
        <f t="shared" si="133"/>
        <v>0.00541404278311525</v>
      </c>
      <c r="AM92" s="32" t="str">
        <f t="shared" si="112"/>
        <v>1-0,000547892570250303i</v>
      </c>
      <c r="AN92" s="32">
        <f t="shared" si="134"/>
        <v>1.00000015009312</v>
      </c>
      <c r="AO92" s="32">
        <f t="shared" si="135"/>
        <v>-0.000547892515427038</v>
      </c>
      <c r="AP92" s="30" t="str">
        <f t="shared" si="136"/>
        <v>221,271634980266-79,0061281914768i</v>
      </c>
      <c r="AQ92" s="32">
        <f t="shared" si="137"/>
        <v>47.4196350405065</v>
      </c>
      <c r="AR92" s="31">
        <f t="shared" si="138"/>
        <v>-19.6493559845257</v>
      </c>
      <c r="AS92" t="str">
        <f t="shared" si="113"/>
        <v>-0,000100699300699301</v>
      </c>
      <c r="AT92" t="str">
        <f t="shared" si="114"/>
        <v>0,0000775859247327999i</v>
      </c>
      <c r="AU92">
        <f t="shared" si="139"/>
        <v>7.75859247327999e-5</v>
      </c>
      <c r="AV92">
        <f t="shared" si="140"/>
        <v>1.5707963267949</v>
      </c>
      <c r="AW92" t="str">
        <f t="shared" si="115"/>
        <v>1+0,00397225703963466i</v>
      </c>
      <c r="AX92">
        <f t="shared" si="141"/>
        <v>1.00000788938187</v>
      </c>
      <c r="AY92">
        <f t="shared" si="142"/>
        <v>0.00397223614731492</v>
      </c>
      <c r="AZ92" t="str">
        <f t="shared" si="116"/>
        <v>1+0,189907692937427i</v>
      </c>
      <c r="BA92">
        <f t="shared" si="143"/>
        <v>1.01787274835159</v>
      </c>
      <c r="BB92">
        <f t="shared" si="144"/>
        <v>0.187672854123996</v>
      </c>
      <c r="BC92" s="30" t="str">
        <f t="shared" si="145"/>
        <v>-0,241323062183551+1,29886541533267i</v>
      </c>
      <c r="BD92" s="32">
        <f t="shared" si="146"/>
        <v>2.4186714929083</v>
      </c>
      <c r="BE92" s="31">
        <f t="shared" si="147"/>
        <v>100.525270104009</v>
      </c>
      <c r="BF92" s="30" t="str">
        <f t="shared" si="148"/>
        <v>27,8129880726402+81,7004496006141i</v>
      </c>
      <c r="BG92" s="68">
        <f t="shared" si="149"/>
        <v>38.720703246805</v>
      </c>
      <c r="BH92" s="31">
        <f t="shared" si="150"/>
        <v>71.2000714401876</v>
      </c>
      <c r="BI92" s="30" t="str">
        <f t="shared" si="103"/>
        <v>49,2203789794499+306,468074856415i</v>
      </c>
      <c r="BJ92" s="68">
        <f t="shared" si="151"/>
        <v>49.8383065334148</v>
      </c>
      <c r="BK92" s="31">
        <f t="shared" si="104"/>
        <v>80.8759141194832</v>
      </c>
      <c r="BL92" s="32">
        <f t="shared" si="152"/>
        <v>38.720703246805</v>
      </c>
      <c r="BM92" s="31">
        <f t="shared" si="153"/>
        <v>71.2000714401876</v>
      </c>
      <c r="BO92">
        <f t="shared" si="154"/>
        <v>0</v>
      </c>
      <c r="BP92">
        <f t="shared" si="155"/>
        <v>0</v>
      </c>
    </row>
    <row r="93" spans="14:68">
      <c r="N93" s="7">
        <v>75</v>
      </c>
      <c r="O93" s="18">
        <f t="shared" si="117"/>
        <v>56.2341325190349</v>
      </c>
      <c r="P93" s="86" t="str">
        <f t="shared" si="105"/>
        <v>75</v>
      </c>
      <c r="Q93" s="4" t="str">
        <f t="shared" si="106"/>
        <v>1+0,577104809502463i</v>
      </c>
      <c r="R93" s="4">
        <f t="shared" si="118"/>
        <v>1.15457782810466</v>
      </c>
      <c r="S93" s="4">
        <f t="shared" si="119"/>
        <v>0.523414661266017</v>
      </c>
      <c r="T93" s="4" t="str">
        <f t="shared" si="107"/>
        <v>1+0,00554020617122365i</v>
      </c>
      <c r="U93" s="4">
        <f t="shared" si="120"/>
        <v>1.00001534682445</v>
      </c>
      <c r="V93" s="4">
        <f t="shared" si="121"/>
        <v>0.0055401494887849</v>
      </c>
      <c r="W93" t="str">
        <f t="shared" si="108"/>
        <v>1-0,00290613493356598i</v>
      </c>
      <c r="X93" s="4">
        <f t="shared" si="122"/>
        <v>1.00000422280121</v>
      </c>
      <c r="Y93" s="4">
        <f t="shared" si="123"/>
        <v>-0.00290612675223675</v>
      </c>
      <c r="Z93" t="str">
        <f t="shared" si="109"/>
        <v>0,999999974185488+0,000911950586311244i</v>
      </c>
      <c r="AA93" s="4">
        <f t="shared" si="124"/>
        <v>1.00000039001235</v>
      </c>
      <c r="AB93" s="4">
        <f t="shared" si="125"/>
        <v>0.000911950357043832</v>
      </c>
      <c r="AC93" s="67" t="str">
        <f t="shared" si="126"/>
        <v>56,3188680584462-32,3727317804796i</v>
      </c>
      <c r="AD93" s="68">
        <f t="shared" si="127"/>
        <v>36.252927593066</v>
      </c>
      <c r="AE93" s="31">
        <f t="shared" si="128"/>
        <v>-29.8907835464508</v>
      </c>
      <c r="AF93" s="32" t="str">
        <f t="shared" si="129"/>
        <v>249,914648392112</v>
      </c>
      <c r="AG93" s="32" t="str">
        <f t="shared" si="110"/>
        <v>1+0,370995948965869i</v>
      </c>
      <c r="AH93" s="32">
        <f t="shared" si="130"/>
        <v>1.06660114107809</v>
      </c>
      <c r="AI93" s="32">
        <f t="shared" si="131"/>
        <v>0.355255656656208</v>
      </c>
      <c r="AJ93" s="32" t="str">
        <f t="shared" si="111"/>
        <v>1+0,00554020617122365i</v>
      </c>
      <c r="AK93" s="32">
        <f t="shared" si="132"/>
        <v>1.00001534682445</v>
      </c>
      <c r="AL93" s="32">
        <f t="shared" si="133"/>
        <v>0.0055401494887849</v>
      </c>
      <c r="AM93" s="32" t="str">
        <f t="shared" si="112"/>
        <v>1-0,000560654627659825i</v>
      </c>
      <c r="AN93" s="32">
        <f t="shared" si="134"/>
        <v>1.00000015716679</v>
      </c>
      <c r="AO93" s="32">
        <f t="shared" si="135"/>
        <v>-0.000560654568915638</v>
      </c>
      <c r="AP93" s="30" t="str">
        <f t="shared" si="136"/>
        <v>220,085050459667-80,4061992753252i</v>
      </c>
      <c r="AQ93" s="32">
        <f t="shared" si="137"/>
        <v>47.3959280341303</v>
      </c>
      <c r="AR93" s="31">
        <f t="shared" si="138"/>
        <v>-20.069345731534</v>
      </c>
      <c r="AS93" t="str">
        <f t="shared" si="113"/>
        <v>-0,000100699300699301</v>
      </c>
      <c r="AT93" t="str">
        <f t="shared" si="114"/>
        <v>0,000079393133078696i</v>
      </c>
      <c r="AU93">
        <f t="shared" si="139"/>
        <v>7.9393133078696e-5</v>
      </c>
      <c r="AV93">
        <f t="shared" si="140"/>
        <v>1.5707963267949</v>
      </c>
      <c r="AW93" t="str">
        <f t="shared" si="115"/>
        <v>1+0,00406478279219604i</v>
      </c>
      <c r="AX93">
        <f t="shared" si="141"/>
        <v>1.00000826119545</v>
      </c>
      <c r="AY93">
        <f t="shared" si="142"/>
        <v>0.00406476040568209</v>
      </c>
      <c r="AZ93" t="str">
        <f t="shared" si="116"/>
        <v>1+0,194331211363074i</v>
      </c>
      <c r="BA93">
        <f t="shared" si="143"/>
        <v>1.01870732779824</v>
      </c>
      <c r="BB93">
        <f t="shared" si="144"/>
        <v>0.191938907065039</v>
      </c>
      <c r="BC93" s="30" t="str">
        <f t="shared" si="145"/>
        <v>-0,241322882730685+1,26934377708081i</v>
      </c>
      <c r="BD93" s="32">
        <f t="shared" si="146"/>
        <v>2.22578712453514</v>
      </c>
      <c r="BE93" s="31">
        <f t="shared" si="147"/>
        <v>100.764395683203</v>
      </c>
      <c r="BF93" s="30" t="str">
        <f t="shared" si="148"/>
        <v>27,5010940406646+79,3002856573565i</v>
      </c>
      <c r="BG93" s="68">
        <f t="shared" si="149"/>
        <v>38.4787147176011</v>
      </c>
      <c r="BH93" s="31">
        <f t="shared" si="150"/>
        <v>70.8736121367523</v>
      </c>
      <c r="BI93" s="30" t="str">
        <f t="shared" si="103"/>
        <v>48,9515498659985+298,767445028034i</v>
      </c>
      <c r="BJ93" s="68">
        <f t="shared" si="151"/>
        <v>49.6217151586655</v>
      </c>
      <c r="BK93" s="31">
        <f t="shared" si="104"/>
        <v>80.695049951669</v>
      </c>
      <c r="BL93" s="32">
        <f t="shared" si="152"/>
        <v>38.4787147176011</v>
      </c>
      <c r="BM93" s="31">
        <f t="shared" si="153"/>
        <v>70.8736121367523</v>
      </c>
      <c r="BO93">
        <f t="shared" si="154"/>
        <v>0</v>
      </c>
      <c r="BP93">
        <f t="shared" si="155"/>
        <v>0</v>
      </c>
    </row>
    <row r="94" spans="14:68">
      <c r="N94" s="7">
        <v>76</v>
      </c>
      <c r="O94" s="18">
        <f t="shared" si="117"/>
        <v>57.5439937337157</v>
      </c>
      <c r="P94" s="86" t="str">
        <f t="shared" si="105"/>
        <v>75</v>
      </c>
      <c r="Q94" s="4" t="str">
        <f t="shared" si="106"/>
        <v>1+0,590547307375391i</v>
      </c>
      <c r="R94" s="4">
        <f t="shared" si="118"/>
        <v>1.16135529544077</v>
      </c>
      <c r="S94" s="4">
        <f t="shared" si="119"/>
        <v>0.5334399971887</v>
      </c>
      <c r="T94" s="4" t="str">
        <f t="shared" si="107"/>
        <v>1+0,00566925415080376i</v>
      </c>
      <c r="U94" s="4">
        <f t="shared" si="120"/>
        <v>1.00001607009219</v>
      </c>
      <c r="V94" s="4">
        <f t="shared" si="121"/>
        <v>0.00566919341452909</v>
      </c>
      <c r="W94" t="str">
        <f t="shared" si="108"/>
        <v>1-0,00297382751214036i</v>
      </c>
      <c r="X94" s="4">
        <f t="shared" si="122"/>
        <v>1.00000442181526</v>
      </c>
      <c r="Y94" s="4">
        <f t="shared" si="123"/>
        <v>-0.00297381874569025</v>
      </c>
      <c r="Z94" t="str">
        <f t="shared" si="109"/>
        <v>0,999999972968888+0,000933192644278622i</v>
      </c>
      <c r="AA94" s="4">
        <f t="shared" si="124"/>
        <v>1.00000040839306</v>
      </c>
      <c r="AB94" s="4">
        <f t="shared" si="125"/>
        <v>0.000933192398614169</v>
      </c>
      <c r="AC94" s="67" t="str">
        <f t="shared" si="126"/>
        <v>55,6661027646228-32,741300843546i</v>
      </c>
      <c r="AD94" s="68">
        <f t="shared" si="127"/>
        <v>36.2020976191997</v>
      </c>
      <c r="AE94" s="31">
        <f t="shared" si="128"/>
        <v>-30.4628948555663</v>
      </c>
      <c r="AF94" s="32" t="str">
        <f t="shared" si="129"/>
        <v>249,914648392112</v>
      </c>
      <c r="AG94" s="32" t="str">
        <f t="shared" si="110"/>
        <v>1+0,379637554741323i</v>
      </c>
      <c r="AH94" s="32">
        <f t="shared" si="130"/>
        <v>1.06963763629089</v>
      </c>
      <c r="AI94" s="32">
        <f t="shared" si="131"/>
        <v>0.362830259795617</v>
      </c>
      <c r="AJ94" s="32" t="str">
        <f t="shared" si="111"/>
        <v>1+0,00566925415080376i</v>
      </c>
      <c r="AK94" s="32">
        <f t="shared" si="132"/>
        <v>1.00001607009219</v>
      </c>
      <c r="AL94" s="32">
        <f t="shared" si="133"/>
        <v>0.00566919341452909</v>
      </c>
      <c r="AM94" s="32" t="str">
        <f t="shared" si="112"/>
        <v>1-0,000573713951574075i</v>
      </c>
      <c r="AN94" s="32">
        <f t="shared" si="134"/>
        <v>1.00000016457384</v>
      </c>
      <c r="AO94" s="32">
        <f t="shared" si="135"/>
        <v>-0.000573713888628545</v>
      </c>
      <c r="AP94" s="30" t="str">
        <f t="shared" si="136"/>
        <v>218,856315801014-81,8126264331333i</v>
      </c>
      <c r="AQ94" s="32">
        <f t="shared" si="137"/>
        <v>47.3712417475896</v>
      </c>
      <c r="AR94" s="31">
        <f t="shared" si="138"/>
        <v>-20.4966930944946</v>
      </c>
      <c r="AS94" t="str">
        <f t="shared" si="113"/>
        <v>-0,000100699300699301</v>
      </c>
      <c r="AT94" t="str">
        <f t="shared" si="114"/>
        <v>0,000081242436714643i</v>
      </c>
      <c r="AU94">
        <f t="shared" si="139"/>
        <v>8.1242436714643e-5</v>
      </c>
      <c r="AV94">
        <f t="shared" si="140"/>
        <v>1.5707963267949</v>
      </c>
      <c r="AW94" t="str">
        <f t="shared" si="115"/>
        <v>1+0,00415946374639761i</v>
      </c>
      <c r="AX94">
        <f t="shared" si="141"/>
        <v>1.00000865053191</v>
      </c>
      <c r="AY94">
        <f t="shared" si="142"/>
        <v>0.00415943975882694</v>
      </c>
      <c r="AZ94" t="str">
        <f t="shared" si="116"/>
        <v>1+0,198857766769264i</v>
      </c>
      <c r="BA94">
        <f t="shared" si="143"/>
        <v>1.019580507564</v>
      </c>
      <c r="BB94">
        <f t="shared" si="144"/>
        <v>0.196297017802283</v>
      </c>
      <c r="BC94" s="30" t="str">
        <f t="shared" si="145"/>
        <v>-0,241322694820752+1,24049516163254i</v>
      </c>
      <c r="BD94" s="32">
        <f t="shared" si="146"/>
        <v>2.03322561969555</v>
      </c>
      <c r="BE94" s="31">
        <f t="shared" si="147"/>
        <v>101.008672307756</v>
      </c>
      <c r="BF94" s="30" t="str">
        <f t="shared" si="148"/>
        <v>27,1819313526465+76,9547500979558i</v>
      </c>
      <c r="BG94" s="68">
        <f t="shared" si="149"/>
        <v>38.2353232388952</v>
      </c>
      <c r="BH94" s="31">
        <f t="shared" si="150"/>
        <v>70.5457774521892</v>
      </c>
      <c r="BI94" s="30" t="str">
        <f t="shared" si="103"/>
        <v>48,6731713431101+291,233444325088i</v>
      </c>
      <c r="BJ94" s="68">
        <f t="shared" si="151"/>
        <v>49.4044673672851</v>
      </c>
      <c r="BK94" s="31">
        <f t="shared" si="104"/>
        <v>80.5119792132609</v>
      </c>
      <c r="BL94" s="32">
        <f t="shared" si="152"/>
        <v>38.2353232388952</v>
      </c>
      <c r="BM94" s="31">
        <f t="shared" si="153"/>
        <v>70.5457774521892</v>
      </c>
      <c r="BO94">
        <f t="shared" si="154"/>
        <v>0</v>
      </c>
      <c r="BP94">
        <f t="shared" si="155"/>
        <v>0</v>
      </c>
    </row>
    <row r="95" spans="14:68">
      <c r="N95" s="7">
        <v>77</v>
      </c>
      <c r="O95" s="18">
        <f t="shared" si="117"/>
        <v>58.8843655355589</v>
      </c>
      <c r="P95" s="86" t="str">
        <f t="shared" si="105"/>
        <v>75</v>
      </c>
      <c r="Q95" s="4" t="str">
        <f t="shared" si="106"/>
        <v>1+0,604302921247506i</v>
      </c>
      <c r="R95" s="4">
        <f t="shared" si="118"/>
        <v>1.1684100395958</v>
      </c>
      <c r="S95" s="4">
        <f t="shared" si="119"/>
        <v>0.543577407629437</v>
      </c>
      <c r="T95" s="4" t="str">
        <f t="shared" si="107"/>
        <v>1+0,00580130804397606i</v>
      </c>
      <c r="U95" s="4">
        <f t="shared" si="120"/>
        <v>1.00001682744593</v>
      </c>
      <c r="V95" s="4">
        <f t="shared" si="121"/>
        <v>0.00580124296394437</v>
      </c>
      <c r="W95" t="str">
        <f t="shared" si="108"/>
        <v>1-0,00304309685342494i</v>
      </c>
      <c r="X95" s="4">
        <f t="shared" si="122"/>
        <v>1.00000463020851</v>
      </c>
      <c r="Y95" s="4">
        <f t="shared" si="123"/>
        <v>-0.00304308746000675</v>
      </c>
      <c r="Z95" t="str">
        <f t="shared" si="109"/>
        <v>0,999999971694951+0,00095492949333826i</v>
      </c>
      <c r="AA95" s="4">
        <f t="shared" si="124"/>
        <v>1.00000042764003</v>
      </c>
      <c r="AB95" s="4">
        <f t="shared" si="125"/>
        <v>0.000954929230104062</v>
      </c>
      <c r="AC95" s="67" t="str">
        <f t="shared" si="126"/>
        <v>54,998661698998-33,1006071880146i</v>
      </c>
      <c r="AD95" s="68">
        <f t="shared" si="127"/>
        <v>36.1495023307967</v>
      </c>
      <c r="AE95" s="31">
        <f t="shared" si="128"/>
        <v>-31.0413740408313</v>
      </c>
      <c r="AF95" s="32" t="str">
        <f t="shared" si="129"/>
        <v>249,914648392112</v>
      </c>
      <c r="AG95" s="32" t="str">
        <f t="shared" si="110"/>
        <v>1+0,388480449373397i</v>
      </c>
      <c r="AH95" s="32">
        <f t="shared" si="130"/>
        <v>1.07280802548515</v>
      </c>
      <c r="AI95" s="32">
        <f t="shared" si="131"/>
        <v>0.370536455948417</v>
      </c>
      <c r="AJ95" s="32" t="str">
        <f t="shared" si="111"/>
        <v>1+0,00580130804397606i</v>
      </c>
      <c r="AK95" s="32">
        <f t="shared" si="132"/>
        <v>1.00001682744593</v>
      </c>
      <c r="AL95" s="32">
        <f t="shared" si="133"/>
        <v>0.00580124296394437</v>
      </c>
      <c r="AM95" s="32" t="str">
        <f t="shared" si="112"/>
        <v>1-0,000587077466219451i</v>
      </c>
      <c r="AN95" s="32">
        <f t="shared" si="134"/>
        <v>1.00000017232996</v>
      </c>
      <c r="AO95" s="32">
        <f t="shared" si="135"/>
        <v>-0.000587077398772101</v>
      </c>
      <c r="AP95" s="30" t="str">
        <f t="shared" si="136"/>
        <v>217,584517709431-83,224218614978i</v>
      </c>
      <c r="AQ95" s="32">
        <f t="shared" si="137"/>
        <v>47.3455416307779</v>
      </c>
      <c r="AR95" s="31">
        <f t="shared" si="138"/>
        <v>-20.9314254010126</v>
      </c>
      <c r="AS95" t="str">
        <f t="shared" si="113"/>
        <v>-0,000100699300699301</v>
      </c>
      <c r="AT95" t="str">
        <f t="shared" si="114"/>
        <v>0,0000831348161659069i</v>
      </c>
      <c r="AU95">
        <f t="shared" si="139"/>
        <v>8.31348161659069e-5</v>
      </c>
      <c r="AV95">
        <f t="shared" si="140"/>
        <v>1.5707963267949</v>
      </c>
      <c r="AW95" t="str">
        <f t="shared" si="115"/>
        <v>1+0,00425635010333452i</v>
      </c>
      <c r="AX95">
        <f t="shared" si="141"/>
        <v>1.00000905821708</v>
      </c>
      <c r="AY95">
        <f t="shared" si="142"/>
        <v>0.00425632440020204</v>
      </c>
      <c r="AZ95" t="str">
        <f t="shared" si="116"/>
        <v>1+0,203489759195589i</v>
      </c>
      <c r="BA95">
        <f t="shared" si="143"/>
        <v>1.02049403824691</v>
      </c>
      <c r="BB95">
        <f t="shared" si="144"/>
        <v>0.200748834552949</v>
      </c>
      <c r="BC95" s="30" t="str">
        <f t="shared" si="145"/>
        <v>-0,241322498055211+1,21230427306518i</v>
      </c>
      <c r="BD95" s="32">
        <f t="shared" si="146"/>
        <v>1.84100103673502</v>
      </c>
      <c r="BE95" s="31">
        <f t="shared" si="147"/>
        <v>101.258191537684</v>
      </c>
      <c r="BF95" s="30" t="str">
        <f t="shared" si="148"/>
        <v>26,8555931041865+74,6630338043175i</v>
      </c>
      <c r="BG95" s="68">
        <f t="shared" si="149"/>
        <v>37.9905033675317</v>
      </c>
      <c r="BH95" s="31">
        <f t="shared" si="150"/>
        <v>70.2168174968525</v>
      </c>
      <c r="BI95" s="30" t="str">
        <f t="shared" si="103"/>
        <v>48,3850364976703+283,862516906829i</v>
      </c>
      <c r="BJ95" s="68">
        <f t="shared" si="151"/>
        <v>49.1865426675129</v>
      </c>
      <c r="BK95" s="31">
        <f t="shared" si="104"/>
        <v>80.3267661366713</v>
      </c>
      <c r="BL95" s="32">
        <f t="shared" si="152"/>
        <v>37.9905033675317</v>
      </c>
      <c r="BM95" s="31">
        <f t="shared" si="153"/>
        <v>70.2168174968525</v>
      </c>
      <c r="BO95">
        <f t="shared" si="154"/>
        <v>0</v>
      </c>
      <c r="BP95">
        <f t="shared" si="155"/>
        <v>0</v>
      </c>
    </row>
    <row r="96" spans="14:68">
      <c r="N96" s="7">
        <v>78</v>
      </c>
      <c r="O96" s="18">
        <f t="shared" si="117"/>
        <v>60.2559586074358</v>
      </c>
      <c r="P96" s="86" t="str">
        <f t="shared" si="105"/>
        <v>75</v>
      </c>
      <c r="Q96" s="4" t="str">
        <f t="shared" si="106"/>
        <v>1+0,618378944527361i</v>
      </c>
      <c r="R96" s="4">
        <f t="shared" si="118"/>
        <v>1.17575189518655</v>
      </c>
      <c r="S96" s="4">
        <f t="shared" si="119"/>
        <v>0.553823932735875</v>
      </c>
      <c r="T96" s="4" t="str">
        <f t="shared" si="107"/>
        <v>1+0,00593643786746267i</v>
      </c>
      <c r="U96" s="4">
        <f t="shared" si="120"/>
        <v>1.00001762049204</v>
      </c>
      <c r="V96" s="4">
        <f t="shared" si="121"/>
        <v>0.00593636813301869</v>
      </c>
      <c r="W96" t="str">
        <f t="shared" si="108"/>
        <v>1-0,00311397968494136i</v>
      </c>
      <c r="X96" s="4">
        <f t="shared" si="122"/>
        <v>1.00000484842299</v>
      </c>
      <c r="Y96" s="4">
        <f t="shared" si="123"/>
        <v>-0.00311396961971507</v>
      </c>
      <c r="Z96" t="str">
        <f t="shared" si="109"/>
        <v>0,999999970360975+0,000977172658655252i</v>
      </c>
      <c r="AA96" s="4">
        <f t="shared" si="124"/>
        <v>1.00000044779408</v>
      </c>
      <c r="AB96" s="4">
        <f t="shared" si="125"/>
        <v>0.000977172376594734</v>
      </c>
      <c r="AC96" s="67" t="str">
        <f t="shared" si="126"/>
        <v>54,3167757211623-33,4499555113079i</v>
      </c>
      <c r="AD96" s="68">
        <f t="shared" si="127"/>
        <v>36.09510279031</v>
      </c>
      <c r="AE96" s="31">
        <f t="shared" si="128"/>
        <v>-31.6260502692222</v>
      </c>
      <c r="AF96" s="32" t="str">
        <f t="shared" si="129"/>
        <v>249,914648392112</v>
      </c>
      <c r="AG96" s="32" t="str">
        <f t="shared" si="110"/>
        <v>1+0,397529321481875i</v>
      </c>
      <c r="AH96" s="32">
        <f t="shared" si="130"/>
        <v>1.07611781949647</v>
      </c>
      <c r="AI96" s="32">
        <f t="shared" si="131"/>
        <v>0.378374668938263</v>
      </c>
      <c r="AJ96" s="32" t="str">
        <f t="shared" si="111"/>
        <v>1+0,00593643786746267i</v>
      </c>
      <c r="AK96" s="32">
        <f t="shared" si="132"/>
        <v>1.00001762049204</v>
      </c>
      <c r="AL96" s="32">
        <f t="shared" si="133"/>
        <v>0.00593636813301869</v>
      </c>
      <c r="AM96" s="32" t="str">
        <f t="shared" si="112"/>
        <v>1-0,000600752257108305i</v>
      </c>
      <c r="AN96" s="32">
        <f t="shared" si="134"/>
        <v>1.00000018045162</v>
      </c>
      <c r="AO96" s="32">
        <f t="shared" si="135"/>
        <v>-0.000600752184837168</v>
      </c>
      <c r="AP96" s="30" t="str">
        <f t="shared" si="136"/>
        <v>216,268772267251-84,6397123038759i</v>
      </c>
      <c r="AQ96" s="32">
        <f t="shared" si="137"/>
        <v>47.31879240497</v>
      </c>
      <c r="AR96" s="31">
        <f t="shared" si="138"/>
        <v>-21.3735633298887</v>
      </c>
      <c r="AS96" t="str">
        <f t="shared" si="113"/>
        <v>-0,000100699300699301</v>
      </c>
      <c r="AT96" t="str">
        <f t="shared" si="114"/>
        <v>0,0000850712747971213i</v>
      </c>
      <c r="AU96">
        <f t="shared" si="139"/>
        <v>8.50712747971213e-5</v>
      </c>
      <c r="AV96">
        <f t="shared" si="140"/>
        <v>1.5707963267949</v>
      </c>
      <c r="AW96" t="str">
        <f t="shared" si="115"/>
        <v>1+0,00435549323343568i</v>
      </c>
      <c r="AX96">
        <f t="shared" si="141"/>
        <v>1.00000948511567</v>
      </c>
      <c r="AY96">
        <f t="shared" si="142"/>
        <v>0.00435546569204713</v>
      </c>
      <c r="AZ96" t="str">
        <f t="shared" si="116"/>
        <v>1+0,208229644585744i</v>
      </c>
      <c r="BA96">
        <f t="shared" si="143"/>
        <v>1.02144974662697</v>
      </c>
      <c r="BB96">
        <f t="shared" si="144"/>
        <v>0.205296011560922</v>
      </c>
      <c r="BC96" s="30" t="str">
        <f t="shared" si="145"/>
        <v>-0,241322292016738+1,18475616419117i</v>
      </c>
      <c r="BD96" s="32">
        <f t="shared" si="146"/>
        <v>1.64912799151249</v>
      </c>
      <c r="BE96" s="31">
        <f t="shared" si="147"/>
        <v>101.513045211341</v>
      </c>
      <c r="BF96" s="30" t="str">
        <f t="shared" si="148"/>
        <v>26,5221921719524+72,4243547864831i</v>
      </c>
      <c r="BG96" s="68">
        <f t="shared" si="149"/>
        <v>37.7442307818225</v>
      </c>
      <c r="BH96" s="31">
        <f t="shared" si="150"/>
        <v>69.8869949421194</v>
      </c>
      <c r="BI96" s="30" t="str">
        <f t="shared" si="103"/>
        <v>48,0869450722052+276,651210434491i</v>
      </c>
      <c r="BJ96" s="68">
        <f t="shared" si="151"/>
        <v>48.9679203964825</v>
      </c>
      <c r="BK96" s="31">
        <f t="shared" si="104"/>
        <v>80.1394818814528</v>
      </c>
      <c r="BL96" s="32">
        <f t="shared" si="152"/>
        <v>37.7442307818225</v>
      </c>
      <c r="BM96" s="31">
        <f t="shared" si="153"/>
        <v>69.8869949421194</v>
      </c>
      <c r="BO96">
        <f t="shared" si="154"/>
        <v>0</v>
      </c>
      <c r="BP96">
        <f t="shared" si="155"/>
        <v>0</v>
      </c>
    </row>
    <row r="97" spans="14:68">
      <c r="N97" s="7">
        <v>79</v>
      </c>
      <c r="O97" s="18">
        <f t="shared" si="117"/>
        <v>61.6595001861483</v>
      </c>
      <c r="P97" s="86" t="str">
        <f t="shared" si="105"/>
        <v>75</v>
      </c>
      <c r="Q97" s="4" t="str">
        <f t="shared" si="106"/>
        <v>1+0,632782840508818i</v>
      </c>
      <c r="R97" s="4">
        <f t="shared" si="118"/>
        <v>1.18339094269071</v>
      </c>
      <c r="S97" s="4">
        <f t="shared" si="119"/>
        <v>0.564176398560312</v>
      </c>
      <c r="T97" s="4" t="str">
        <f t="shared" si="107"/>
        <v>1+0,00607471526888466i</v>
      </c>
      <c r="U97" s="4">
        <f t="shared" si="120"/>
        <v>1.00001845091258</v>
      </c>
      <c r="V97" s="4">
        <f t="shared" si="121"/>
        <v>0.00607464054715615</v>
      </c>
      <c r="W97" t="str">
        <f t="shared" si="108"/>
        <v>1-0,00318651358970512i</v>
      </c>
      <c r="X97" s="4">
        <f t="shared" si="122"/>
        <v>1.00000507692154</v>
      </c>
      <c r="Y97" s="4">
        <f t="shared" si="123"/>
        <v>-0.00318650280462379</v>
      </c>
      <c r="Z97" t="str">
        <f t="shared" si="109"/>
        <v>0,999999968964131+0,000999933933850274i</v>
      </c>
      <c r="AA97" s="4">
        <f t="shared" si="124"/>
        <v>1.00000046889796</v>
      </c>
      <c r="AB97" s="4">
        <f t="shared" si="125"/>
        <v>0.000999933631616991</v>
      </c>
      <c r="AC97" s="67" t="str">
        <f t="shared" si="126"/>
        <v>53,6207170635966-33,788651163946i</v>
      </c>
      <c r="AD97" s="68">
        <f t="shared" si="127"/>
        <v>36.0388607336653</v>
      </c>
      <c r="AE97" s="31">
        <f t="shared" si="128"/>
        <v>-32.2167404119818</v>
      </c>
      <c r="AF97" s="32" t="str">
        <f t="shared" si="129"/>
        <v>249,914648392112</v>
      </c>
      <c r="AG97" s="32" t="str">
        <f t="shared" si="110"/>
        <v>1+0,406788968898526i</v>
      </c>
      <c r="AH97" s="32">
        <f t="shared" si="130"/>
        <v>1.07957272345013</v>
      </c>
      <c r="AI97" s="32">
        <f t="shared" si="131"/>
        <v>0.386345201173424</v>
      </c>
      <c r="AJ97" s="32" t="str">
        <f t="shared" si="111"/>
        <v>1+0,00607471526888466i</v>
      </c>
      <c r="AK97" s="32">
        <f t="shared" si="132"/>
        <v>1.00001845091258</v>
      </c>
      <c r="AL97" s="32">
        <f t="shared" si="133"/>
        <v>0.00607464054715615</v>
      </c>
      <c r="AM97" s="32" t="str">
        <f t="shared" si="112"/>
        <v>1-0,000614745574795775i</v>
      </c>
      <c r="AN97" s="32">
        <f t="shared" si="134"/>
        <v>1.00000018895604</v>
      </c>
      <c r="AO97" s="32">
        <f t="shared" si="135"/>
        <v>-0.000614745497355858</v>
      </c>
      <c r="AP97" s="30" t="str">
        <f t="shared" si="136"/>
        <v>214,908229820832-86,0577708102938i</v>
      </c>
      <c r="AQ97" s="32">
        <f t="shared" si="137"/>
        <v>47.2909580886481</v>
      </c>
      <c r="AR97" s="31">
        <f t="shared" si="138"/>
        <v>-21.823120519432</v>
      </c>
      <c r="AS97" t="str">
        <f t="shared" si="113"/>
        <v>-0,000100699300699301</v>
      </c>
      <c r="AT97" t="str">
        <f t="shared" si="114"/>
        <v>0,0000870528393442846i</v>
      </c>
      <c r="AU97">
        <f t="shared" si="139"/>
        <v>8.70528393442846e-5</v>
      </c>
      <c r="AV97">
        <f t="shared" si="140"/>
        <v>1.5707963267949</v>
      </c>
      <c r="AW97" t="str">
        <f t="shared" si="115"/>
        <v>1+0,00445694570370098i</v>
      </c>
      <c r="AX97">
        <f t="shared" si="141"/>
        <v>1.00000993213318</v>
      </c>
      <c r="AY97">
        <f t="shared" si="142"/>
        <v>0.00445691619258729</v>
      </c>
      <c r="AZ97" t="str">
        <f t="shared" si="116"/>
        <v>1+0,213079936089704i</v>
      </c>
      <c r="BA97">
        <f t="shared" si="143"/>
        <v>1.02244953868834</v>
      </c>
      <c r="BB97">
        <f t="shared" si="144"/>
        <v>0.209940207276109</v>
      </c>
      <c r="BC97" s="30" t="str">
        <f t="shared" si="145"/>
        <v>-0,241322076268349+1,15783622863292i</v>
      </c>
      <c r="BD97" s="32">
        <f t="shared" si="146"/>
        <v>1.45762167447423</v>
      </c>
      <c r="BE97" s="31">
        <f t="shared" si="147"/>
        <v>101.773325339544</v>
      </c>
      <c r="BF97" s="30" t="str">
        <f t="shared" si="148"/>
        <v>26,1818616614717+70,237956274698i</v>
      </c>
      <c r="BG97" s="68">
        <f t="shared" si="149"/>
        <v>37.4964824081395</v>
      </c>
      <c r="BH97" s="31">
        <f t="shared" si="150"/>
        <v>69.5565849275622</v>
      </c>
      <c r="BI97" s="30" t="str">
        <f t="shared" si="103"/>
        <v>47,7787045720281+269,596174248895i</v>
      </c>
      <c r="BJ97" s="68">
        <f t="shared" si="151"/>
        <v>48.7485797631223</v>
      </c>
      <c r="BK97" s="31">
        <f t="shared" si="104"/>
        <v>79.9502048201119</v>
      </c>
      <c r="BL97" s="32">
        <f t="shared" si="152"/>
        <v>37.4964824081395</v>
      </c>
      <c r="BM97" s="31">
        <f t="shared" si="153"/>
        <v>69.5565849275622</v>
      </c>
      <c r="BO97">
        <f t="shared" si="154"/>
        <v>0</v>
      </c>
      <c r="BP97">
        <f t="shared" si="155"/>
        <v>0</v>
      </c>
    </row>
    <row r="98" spans="14:68">
      <c r="N98" s="7">
        <v>80</v>
      </c>
      <c r="O98" s="18">
        <f t="shared" si="117"/>
        <v>63.0957344480194</v>
      </c>
      <c r="P98" s="86" t="str">
        <f t="shared" si="105"/>
        <v>75</v>
      </c>
      <c r="Q98" s="4" t="str">
        <f t="shared" si="106"/>
        <v>1+0,647522246328183i</v>
      </c>
      <c r="R98" s="4">
        <f t="shared" si="118"/>
        <v>1.19133750863888</v>
      </c>
      <c r="S98" s="4">
        <f t="shared" si="119"/>
        <v>0.574631417691747</v>
      </c>
      <c r="T98" s="4" t="str">
        <f t="shared" si="107"/>
        <v>1+0,00621621356475056i</v>
      </c>
      <c r="U98" s="4">
        <f t="shared" si="120"/>
        <v>1.0000193204689</v>
      </c>
      <c r="V98" s="4">
        <f t="shared" si="121"/>
        <v>0.00621613349905949</v>
      </c>
      <c r="W98" t="str">
        <f t="shared" si="108"/>
        <v>1-0,00326073702615264i</v>
      </c>
      <c r="X98" s="4">
        <f t="shared" si="122"/>
        <v>1.00000531618885</v>
      </c>
      <c r="Y98" s="4">
        <f t="shared" si="123"/>
        <v>-0.00326072546973311</v>
      </c>
      <c r="Z98" t="str">
        <f t="shared" si="109"/>
        <v>0,999999967501455+0,00102322538725271i</v>
      </c>
      <c r="AA98" s="4">
        <f t="shared" si="124"/>
        <v>1.00000049099643</v>
      </c>
      <c r="AB98" s="4">
        <f t="shared" si="125"/>
        <v>0.00102322506340392</v>
      </c>
      <c r="AC98" s="67" t="str">
        <f t="shared" si="126"/>
        <v>52,9108000485537-34,1160029711365i</v>
      </c>
      <c r="AD98" s="68">
        <f t="shared" si="127"/>
        <v>35.9807386819685</v>
      </c>
      <c r="AE98" s="31">
        <f t="shared" si="128"/>
        <v>-32.8132490801618</v>
      </c>
      <c r="AF98" s="32" t="str">
        <f t="shared" si="129"/>
        <v>249,914648392112</v>
      </c>
      <c r="AG98" s="32" t="str">
        <f t="shared" si="110"/>
        <v>1+0,416264301210975i</v>
      </c>
      <c r="AH98" s="32">
        <f t="shared" si="130"/>
        <v>1.0831786410665</v>
      </c>
      <c r="AI98" s="32">
        <f t="shared" si="131"/>
        <v>0.394448226791806</v>
      </c>
      <c r="AJ98" s="32" t="str">
        <f t="shared" si="111"/>
        <v>1+0,00621621356475056i</v>
      </c>
      <c r="AK98" s="32">
        <f t="shared" si="132"/>
        <v>1.0000193204689</v>
      </c>
      <c r="AL98" s="32">
        <f t="shared" si="133"/>
        <v>0.00621613349905949</v>
      </c>
      <c r="AM98" s="32" t="str">
        <f t="shared" si="112"/>
        <v>1-0,00062906483872412i</v>
      </c>
      <c r="AN98" s="32">
        <f t="shared" si="134"/>
        <v>1.00000019786127</v>
      </c>
      <c r="AO98" s="32">
        <f t="shared" si="135"/>
        <v>-0.000629064755745755</v>
      </c>
      <c r="AP98" s="30" t="str">
        <f t="shared" si="136"/>
        <v>213,502080096409-87,4769838690418i</v>
      </c>
      <c r="AQ98" s="32">
        <f t="shared" si="137"/>
        <v>47.2620020273871</v>
      </c>
      <c r="AR98" s="31">
        <f t="shared" si="138"/>
        <v>-22.2801031727482</v>
      </c>
      <c r="AS98" t="str">
        <f t="shared" si="113"/>
        <v>-0,000100699300699301</v>
      </c>
      <c r="AT98" t="str">
        <f t="shared" si="114"/>
        <v>0,0000890805604591487i</v>
      </c>
      <c r="AU98">
        <f t="shared" si="139"/>
        <v>8.90805604591487e-5</v>
      </c>
      <c r="AV98">
        <f t="shared" si="140"/>
        <v>1.5707963267949</v>
      </c>
      <c r="AW98" t="str">
        <f t="shared" si="115"/>
        <v>1+0,00456076130557302i</v>
      </c>
      <c r="AX98">
        <f t="shared" si="141"/>
        <v>1.00001040021776</v>
      </c>
      <c r="AY98">
        <f t="shared" si="142"/>
        <v>0.00456072968386274</v>
      </c>
      <c r="AZ98" t="str">
        <f t="shared" si="116"/>
        <v>1+0,218043205396225i</v>
      </c>
      <c r="BA98">
        <f t="shared" si="143"/>
        <v>1.02349540273489</v>
      </c>
      <c r="BB98">
        <f t="shared" si="144"/>
        <v>0.214683082389979</v>
      </c>
      <c r="BC98" s="30" t="str">
        <f t="shared" si="145"/>
        <v>-0,241321850352466+1,1315301930782i</v>
      </c>
      <c r="BD98" s="32">
        <f t="shared" si="146"/>
        <v>1.26649786777114</v>
      </c>
      <c r="BE98" s="31">
        <f t="shared" si="147"/>
        <v>102.03912399142</v>
      </c>
      <c r="BF98" s="30" t="str">
        <f t="shared" si="148"/>
        <v>25,8347552576402+68,1031047584869i</v>
      </c>
      <c r="BG98" s="68">
        <f t="shared" si="149"/>
        <v>37.2472365497396</v>
      </c>
      <c r="BH98" s="31">
        <f t="shared" si="150"/>
        <v>69.225874911258</v>
      </c>
      <c r="BI98" s="30" t="str">
        <f t="shared" si="103"/>
        <v>47,4601314242696+262,694157524617i</v>
      </c>
      <c r="BJ98" s="68">
        <f t="shared" si="151"/>
        <v>48.5284998951582</v>
      </c>
      <c r="BK98" s="31">
        <f t="shared" si="104"/>
        <v>79.7590208186716</v>
      </c>
      <c r="BL98" s="32">
        <f t="shared" si="152"/>
        <v>37.2472365497396</v>
      </c>
      <c r="BM98" s="31">
        <f t="shared" si="153"/>
        <v>69.225874911258</v>
      </c>
      <c r="BO98">
        <f t="shared" si="154"/>
        <v>0</v>
      </c>
      <c r="BP98">
        <f t="shared" si="155"/>
        <v>0</v>
      </c>
    </row>
    <row r="99" spans="14:68">
      <c r="N99" s="7">
        <v>81</v>
      </c>
      <c r="O99" s="18">
        <f t="shared" si="117"/>
        <v>64.5654229034656</v>
      </c>
      <c r="P99" s="86" t="str">
        <f t="shared" si="105"/>
        <v>75</v>
      </c>
      <c r="Q99" s="4" t="str">
        <f t="shared" si="106"/>
        <v>1+0,662604977013522i</v>
      </c>
      <c r="R99" s="4">
        <f t="shared" si="118"/>
        <v>1.19960216553785</v>
      </c>
      <c r="S99" s="4">
        <f t="shared" si="119"/>
        <v>0.585185390775802</v>
      </c>
      <c r="T99" s="4" t="str">
        <f t="shared" si="107"/>
        <v>1+0,00636100777932982i</v>
      </c>
      <c r="U99" s="4">
        <f t="shared" si="120"/>
        <v>1.00002023100534</v>
      </c>
      <c r="V99" s="4">
        <f t="shared" si="121"/>
        <v>0.00636092198748989</v>
      </c>
      <c r="W99" t="str">
        <f t="shared" si="108"/>
        <v>1-0,00333668934853238i</v>
      </c>
      <c r="X99" s="4">
        <f t="shared" si="122"/>
        <v>1.00000556673241</v>
      </c>
      <c r="Y99" s="4">
        <f t="shared" si="123"/>
        <v>-0.00333667696560947</v>
      </c>
      <c r="Z99" t="str">
        <f t="shared" si="109"/>
        <v>0,999999965969846+0,00104705936829946i</v>
      </c>
      <c r="AA99" s="4">
        <f t="shared" si="124"/>
        <v>1.00000051413637</v>
      </c>
      <c r="AB99" s="4">
        <f t="shared" si="125"/>
        <v>0.00104705902128924</v>
      </c>
      <c r="AC99" s="67" t="str">
        <f t="shared" si="126"/>
        <v>52,1873815879328-34,4313261747495i</v>
      </c>
      <c r="AD99" s="68">
        <f t="shared" si="127"/>
        <v>35.9207000548463</v>
      </c>
      <c r="AE99" s="31">
        <f t="shared" si="128"/>
        <v>-33.415368711021</v>
      </c>
      <c r="AF99" s="32" t="str">
        <f t="shared" si="129"/>
        <v>249,914648392112</v>
      </c>
      <c r="AG99" s="32" t="str">
        <f t="shared" si="110"/>
        <v>1+0,425960342365835i</v>
      </c>
      <c r="AH99" s="32">
        <f t="shared" si="130"/>
        <v>1.0869416788717</v>
      </c>
      <c r="AI99" s="32">
        <f t="shared" si="131"/>
        <v>0.402683784783665</v>
      </c>
      <c r="AJ99" s="32" t="str">
        <f t="shared" si="111"/>
        <v>1+0,00636100777932982i</v>
      </c>
      <c r="AK99" s="32">
        <f t="shared" si="132"/>
        <v>1.00002023100534</v>
      </c>
      <c r="AL99" s="32">
        <f t="shared" si="133"/>
        <v>0.00636092198748989</v>
      </c>
      <c r="AM99" s="32" t="str">
        <f t="shared" si="112"/>
        <v>1-0,000643717641156615i</v>
      </c>
      <c r="AN99" s="32">
        <f t="shared" si="134"/>
        <v>1.00000020718618</v>
      </c>
      <c r="AO99" s="32">
        <f t="shared" si="135"/>
        <v>-0.000643717552243695</v>
      </c>
      <c r="AP99" s="30" t="str">
        <f t="shared" si="136"/>
        <v>212,04955753093-88,8958675697617i</v>
      </c>
      <c r="AQ99" s="32">
        <f t="shared" si="137"/>
        <v>47.2318869279798</v>
      </c>
      <c r="AR99" s="31">
        <f t="shared" si="138"/>
        <v>-22.7445096617053</v>
      </c>
      <c r="AS99" t="str">
        <f t="shared" si="113"/>
        <v>-0,000100699300699301</v>
      </c>
      <c r="AT99" t="str">
        <f t="shared" si="114"/>
        <v>0,0000911555132662889i</v>
      </c>
      <c r="AU99">
        <f t="shared" si="139"/>
        <v>9.11555132662889e-5</v>
      </c>
      <c r="AV99">
        <f t="shared" si="140"/>
        <v>1.5707963267949</v>
      </c>
      <c r="AW99" t="str">
        <f t="shared" si="115"/>
        <v>1+0,00466699508345809i</v>
      </c>
      <c r="AX99">
        <f t="shared" si="141"/>
        <v>1.00001089036225</v>
      </c>
      <c r="AY99">
        <f t="shared" si="142"/>
        <v>0.00466696120020499</v>
      </c>
      <c r="AZ99" t="str">
        <f t="shared" si="116"/>
        <v>1+0,22312208409639i</v>
      </c>
      <c r="BA99">
        <f t="shared" si="143"/>
        <v>1.02458941259976</v>
      </c>
      <c r="BB99">
        <f t="shared" si="144"/>
        <v>0.219526297720768</v>
      </c>
      <c r="BC99" s="30" t="str">
        <f t="shared" si="145"/>
        <v>-0,241321613789948+1,10582410971229i</v>
      </c>
      <c r="BD99" s="32">
        <f t="shared" si="146"/>
        <v>1.0757729623674</v>
      </c>
      <c r="BE99" s="31">
        <f t="shared" si="147"/>
        <v>102.310533171609</v>
      </c>
      <c r="BF99" s="30" t="str">
        <f t="shared" si="148"/>
        <v>25,4810474691341+66,01908798011i</v>
      </c>
      <c r="BG99" s="68">
        <f t="shared" si="149"/>
        <v>36.9964730172137</v>
      </c>
      <c r="BH99" s="31">
        <f t="shared" si="150"/>
        <v>68.8951644605883</v>
      </c>
      <c r="BI99" s="30" t="str">
        <f t="shared" si="103"/>
        <v>47,1310521856249+255,942007392718i</v>
      </c>
      <c r="BJ99" s="68">
        <f t="shared" si="151"/>
        <v>48.3076598903472</v>
      </c>
      <c r="BK99" s="31">
        <f t="shared" si="104"/>
        <v>79.566023509904</v>
      </c>
      <c r="BL99" s="32">
        <f t="shared" si="152"/>
        <v>36.9964730172137</v>
      </c>
      <c r="BM99" s="31">
        <f t="shared" si="153"/>
        <v>68.8951644605883</v>
      </c>
      <c r="BO99">
        <f t="shared" si="154"/>
        <v>0</v>
      </c>
      <c r="BP99">
        <f t="shared" si="155"/>
        <v>0</v>
      </c>
    </row>
    <row r="100" spans="14:68">
      <c r="N100" s="7">
        <v>82</v>
      </c>
      <c r="O100" s="18">
        <f t="shared" si="117"/>
        <v>66.0693448007596</v>
      </c>
      <c r="P100" s="86" t="str">
        <f t="shared" si="105"/>
        <v>75</v>
      </c>
      <c r="Q100" s="4" t="str">
        <f t="shared" si="106"/>
        <v>1+0,678039029628288i</v>
      </c>
      <c r="R100" s="4">
        <f t="shared" si="118"/>
        <v>1.20819573153495</v>
      </c>
      <c r="S100" s="4">
        <f t="shared" si="119"/>
        <v>0.595834508956855</v>
      </c>
      <c r="T100" s="4" t="str">
        <f t="shared" si="107"/>
        <v>1+0,00650917468443157i</v>
      </c>
      <c r="U100" s="4">
        <f t="shared" si="120"/>
        <v>1.00002118445315</v>
      </c>
      <c r="V100" s="4">
        <f t="shared" si="121"/>
        <v>0.00650908275692403</v>
      </c>
      <c r="W100" t="str">
        <f t="shared" si="108"/>
        <v>1-0,00341441082777102i</v>
      </c>
      <c r="X100" s="4">
        <f t="shared" si="122"/>
        <v>1.00000582908366</v>
      </c>
      <c r="Y100" s="4">
        <f t="shared" si="123"/>
        <v>-0.00341439755923425</v>
      </c>
      <c r="Z100" t="str">
        <f t="shared" si="109"/>
        <v>0,999999964366055+0,00107144851408275i</v>
      </c>
      <c r="AA100" s="4">
        <f t="shared" si="124"/>
        <v>1.00000053836687</v>
      </c>
      <c r="AB100" s="4">
        <f t="shared" si="125"/>
        <v>0.00107144814225461</v>
      </c>
      <c r="AC100" s="67" t="str">
        <f t="shared" si="126"/>
        <v>51,4508614493352-34,7339454775856i</v>
      </c>
      <c r="AD100" s="68">
        <f t="shared" si="127"/>
        <v>35.8587092848175</v>
      </c>
      <c r="AE100" s="31">
        <f t="shared" si="128"/>
        <v>-34.0228797072467</v>
      </c>
      <c r="AF100" s="32" t="str">
        <f t="shared" si="129"/>
        <v>249,914648392112</v>
      </c>
      <c r="AG100" s="32" t="str">
        <f t="shared" si="110"/>
        <v>1+0,435882233332471i</v>
      </c>
      <c r="AH100" s="32">
        <f t="shared" si="130"/>
        <v>1.09086815029815</v>
      </c>
      <c r="AI100" s="32">
        <f t="shared" si="131"/>
        <v>0.411051772124629</v>
      </c>
      <c r="AJ100" s="32" t="str">
        <f t="shared" si="111"/>
        <v>1+0,00650917468443157i</v>
      </c>
      <c r="AK100" s="32">
        <f t="shared" si="132"/>
        <v>1.00002118445315</v>
      </c>
      <c r="AL100" s="32">
        <f t="shared" si="133"/>
        <v>0.00650908275692403</v>
      </c>
      <c r="AM100" s="32" t="str">
        <f t="shared" si="112"/>
        <v>1-0,000658711751203062i</v>
      </c>
      <c r="AN100" s="32">
        <f t="shared" si="134"/>
        <v>1.00000021695056</v>
      </c>
      <c r="AO100" s="32">
        <f t="shared" si="135"/>
        <v>-0.000658711655931153</v>
      </c>
      <c r="AP100" s="30" t="str">
        <f t="shared" si="136"/>
        <v>210,549946800257-90,3128646524402i</v>
      </c>
      <c r="AQ100" s="32">
        <f t="shared" si="137"/>
        <v>47.2005748969692</v>
      </c>
      <c r="AR100" s="31">
        <f t="shared" si="138"/>
        <v>-23.2163301314423</v>
      </c>
      <c r="AS100" t="str">
        <f t="shared" si="113"/>
        <v>-0,000100699300699301</v>
      </c>
      <c r="AT100" t="str">
        <f t="shared" si="114"/>
        <v>0,0000932787979331487i</v>
      </c>
      <c r="AU100">
        <f t="shared" si="139"/>
        <v>9.32787979331487e-5</v>
      </c>
      <c r="AV100">
        <f t="shared" si="140"/>
        <v>1.5707963267949</v>
      </c>
      <c r="AW100" t="str">
        <f t="shared" si="115"/>
        <v>1+0,0047757033639114i</v>
      </c>
      <c r="AX100">
        <f t="shared" si="141"/>
        <v>1.00001140360629</v>
      </c>
      <c r="AY100">
        <f t="shared" si="142"/>
        <v>0.00477566705737394</v>
      </c>
      <c r="AZ100" t="str">
        <f t="shared" si="116"/>
        <v>1+0,228319265078913i</v>
      </c>
      <c r="BA100">
        <f t="shared" si="143"/>
        <v>1.02573373094881</v>
      </c>
      <c r="BB100">
        <f t="shared" si="144"/>
        <v>0.224471511941757</v>
      </c>
      <c r="BC100" s="30" t="str">
        <f t="shared" si="145"/>
        <v>-0,241321366079078+1,08070434882256i</v>
      </c>
      <c r="BD100" s="32">
        <f t="shared" si="146"/>
        <v>0.885463975078279</v>
      </c>
      <c r="BE100" s="31">
        <f t="shared" si="147"/>
        <v>102.587644688436</v>
      </c>
      <c r="BF100" s="30" t="str">
        <f t="shared" si="148"/>
        <v>25,1209337584935+63,9852128909307i</v>
      </c>
      <c r="BG100" s="68">
        <f t="shared" si="149"/>
        <v>36.7441732598957</v>
      </c>
      <c r="BH100" s="31">
        <f t="shared" si="150"/>
        <v>68.5647649811892</v>
      </c>
      <c r="BI100" s="30" t="str">
        <f t="shared" si="103"/>
        <v>46,7913047948002+249,336667023838i</v>
      </c>
      <c r="BJ100" s="68">
        <f t="shared" si="151"/>
        <v>48.0860388720474</v>
      </c>
      <c r="BK100" s="31">
        <f t="shared" si="104"/>
        <v>79.3713145569936</v>
      </c>
      <c r="BL100" s="32">
        <f t="shared" si="152"/>
        <v>36.7441732598957</v>
      </c>
      <c r="BM100" s="31">
        <f t="shared" si="153"/>
        <v>68.5647649811892</v>
      </c>
      <c r="BO100">
        <f t="shared" si="154"/>
        <v>0</v>
      </c>
      <c r="BP100">
        <f t="shared" si="155"/>
        <v>0</v>
      </c>
    </row>
    <row r="101" spans="14:68">
      <c r="N101" s="7">
        <v>83</v>
      </c>
      <c r="O101" s="18">
        <f t="shared" si="117"/>
        <v>67.6082975391982</v>
      </c>
      <c r="P101" s="86" t="str">
        <f t="shared" si="105"/>
        <v>75</v>
      </c>
      <c r="Q101" s="4" t="str">
        <f t="shared" si="106"/>
        <v>1+0,693832587511469i</v>
      </c>
      <c r="R101" s="4">
        <f t="shared" si="118"/>
        <v>1.21712926983655</v>
      </c>
      <c r="S101" s="4">
        <f t="shared" si="119"/>
        <v>0.606574757270792</v>
      </c>
      <c r="T101" s="4" t="str">
        <f t="shared" si="107"/>
        <v>1+0,00666079284011011i</v>
      </c>
      <c r="U101" s="4">
        <f t="shared" si="120"/>
        <v>1.00002218283459</v>
      </c>
      <c r="V101" s="4">
        <f t="shared" si="121"/>
        <v>0.0066606943381291</v>
      </c>
      <c r="W101" t="str">
        <f t="shared" si="108"/>
        <v>1-0,00349394267282561i</v>
      </c>
      <c r="X101" s="4">
        <f t="shared" si="122"/>
        <v>1.00000610379907</v>
      </c>
      <c r="Y101" s="4">
        <f t="shared" si="123"/>
        <v>-0.00349392845533699</v>
      </c>
      <c r="Z101" t="str">
        <f t="shared" si="109"/>
        <v>0,999999962686678+0,00109640575605051i</v>
      </c>
      <c r="AA101" s="4">
        <f t="shared" si="124"/>
        <v>1.00000056373931</v>
      </c>
      <c r="AB101" s="4">
        <f t="shared" si="125"/>
        <v>0.00109640535762949</v>
      </c>
      <c r="AC101" s="67" t="str">
        <f t="shared" si="126"/>
        <v>50,7016822730621-35,0231981695011i</v>
      </c>
      <c r="AD101" s="68">
        <f t="shared" si="127"/>
        <v>35.7947319320463</v>
      </c>
      <c r="AE101" s="31">
        <f t="shared" si="128"/>
        <v>-34.6355506306265</v>
      </c>
      <c r="AF101" s="32" t="str">
        <f t="shared" si="129"/>
        <v>249,914648392112</v>
      </c>
      <c r="AG101" s="32" t="str">
        <f t="shared" si="110"/>
        <v>1+0,446035234828802i</v>
      </c>
      <c r="AH101" s="32">
        <f t="shared" si="130"/>
        <v>1.09496457965944</v>
      </c>
      <c r="AI101" s="32">
        <f t="shared" si="131"/>
        <v>0.419551936954567</v>
      </c>
      <c r="AJ101" s="32" t="str">
        <f t="shared" si="111"/>
        <v>1+0,00666079284011011i</v>
      </c>
      <c r="AK101" s="32">
        <f t="shared" si="132"/>
        <v>1.00002218283459</v>
      </c>
      <c r="AL101" s="32">
        <f t="shared" si="133"/>
        <v>0.0066606943381291</v>
      </c>
      <c r="AM101" s="32" t="str">
        <f t="shared" si="112"/>
        <v>1-0,000674055118939076i</v>
      </c>
      <c r="AN101" s="32">
        <f t="shared" si="134"/>
        <v>1.00000022717513</v>
      </c>
      <c r="AO101" s="32">
        <f t="shared" si="135"/>
        <v>-0.000674055016853388</v>
      </c>
      <c r="AP101" s="30" t="str">
        <f t="shared" si="136"/>
        <v>209,002588523353-91,7263451992388i</v>
      </c>
      <c r="AQ101" s="32">
        <f t="shared" si="137"/>
        <v>47.1680274837395</v>
      </c>
      <c r="AR101" s="31">
        <f t="shared" si="138"/>
        <v>-23.6955461074593</v>
      </c>
      <c r="AS101" t="str">
        <f t="shared" si="113"/>
        <v>-0,000100699300699301</v>
      </c>
      <c r="AT101" t="str">
        <f t="shared" si="114"/>
        <v>0,0000954515402533636i</v>
      </c>
      <c r="AU101">
        <f t="shared" si="139"/>
        <v>9.54515402533636e-5</v>
      </c>
      <c r="AV101">
        <f t="shared" si="140"/>
        <v>1.5707963267949</v>
      </c>
      <c r="AW101" t="str">
        <f t="shared" si="115"/>
        <v>1+0,00488694378550216i</v>
      </c>
      <c r="AX101">
        <f t="shared" si="141"/>
        <v>1.00001194103849</v>
      </c>
      <c r="AY101">
        <f t="shared" si="142"/>
        <v>0.00488690488237146</v>
      </c>
      <c r="AZ101" t="str">
        <f t="shared" si="116"/>
        <v>1+0,233637503957944i</v>
      </c>
      <c r="BA101">
        <f t="shared" si="143"/>
        <v>1.02693061267824</v>
      </c>
      <c r="BB101">
        <f t="shared" si="144"/>
        <v>0.229520379146161</v>
      </c>
      <c r="BC101" s="30" t="str">
        <f t="shared" si="145"/>
        <v>-0,241321106694502+1,05615759157187i</v>
      </c>
      <c r="BD101" s="32">
        <f t="shared" si="146"/>
        <v>0.695588565472829</v>
      </c>
      <c r="BE101" s="31">
        <f t="shared" si="147"/>
        <v>102.870550012676</v>
      </c>
      <c r="BF101" s="30" t="str">
        <f t="shared" si="148"/>
        <v>24,7546305504362+62,0008035804043i</v>
      </c>
      <c r="BG101" s="68">
        <f t="shared" si="149"/>
        <v>36.4903204975191</v>
      </c>
      <c r="BH101" s="31">
        <f t="shared" si="150"/>
        <v>68.2349993820493</v>
      </c>
      <c r="BI101" s="30" t="str">
        <f t="shared" si="103"/>
        <v>46,4407398648468+242,875173663633i</v>
      </c>
      <c r="BJ101" s="68">
        <f t="shared" si="151"/>
        <v>47.8636160492123</v>
      </c>
      <c r="BK101" s="31">
        <f t="shared" si="104"/>
        <v>79.1750039052164</v>
      </c>
      <c r="BL101" s="32">
        <f t="shared" si="152"/>
        <v>36.4903204975191</v>
      </c>
      <c r="BM101" s="31">
        <f t="shared" si="153"/>
        <v>68.2349993820493</v>
      </c>
      <c r="BO101">
        <f t="shared" si="154"/>
        <v>0</v>
      </c>
      <c r="BP101">
        <f t="shared" si="155"/>
        <v>0</v>
      </c>
    </row>
    <row r="102" spans="14:68">
      <c r="N102" s="7">
        <v>84</v>
      </c>
      <c r="O102" s="18">
        <f t="shared" si="117"/>
        <v>69.1830970918937</v>
      </c>
      <c r="P102" s="86" t="str">
        <f t="shared" si="105"/>
        <v>75</v>
      </c>
      <c r="Q102" s="4" t="str">
        <f t="shared" si="106"/>
        <v>1+0,709994024616509i</v>
      </c>
      <c r="R102" s="4">
        <f t="shared" si="118"/>
        <v>1.22641408789656</v>
      </c>
      <c r="S102" s="4">
        <f t="shared" si="119"/>
        <v>0.617401919010169</v>
      </c>
      <c r="T102" s="4" t="str">
        <f t="shared" si="107"/>
        <v>1+0,0068159426363185i</v>
      </c>
      <c r="U102" s="4">
        <f t="shared" si="120"/>
        <v>1.00002322826723</v>
      </c>
      <c r="V102" s="4">
        <f t="shared" si="121"/>
        <v>0.00681583708967666</v>
      </c>
      <c r="W102" t="str">
        <f t="shared" si="108"/>
        <v>1-0,00357532705253314i</v>
      </c>
      <c r="X102" s="4">
        <f t="shared" si="122"/>
        <v>1.00000639146134</v>
      </c>
      <c r="Y102" s="4">
        <f t="shared" si="123"/>
        <v>-0.00357531181822487</v>
      </c>
      <c r="Z102" t="str">
        <f t="shared" si="109"/>
        <v>0,999999960928156+0,00112194432686276i</v>
      </c>
      <c r="AA102" s="4">
        <f t="shared" si="124"/>
        <v>1.00000059030752</v>
      </c>
      <c r="AB102" s="4">
        <f t="shared" si="125"/>
        <v>0.00112194389994696</v>
      </c>
      <c r="AC102" s="67" t="str">
        <f t="shared" si="126"/>
        <v>49,9403293267351-35,2984373127556i</v>
      </c>
      <c r="AD102" s="68">
        <f t="shared" si="127"/>
        <v>35.7287347987968</v>
      </c>
      <c r="AE102" s="31">
        <f t="shared" si="128"/>
        <v>-35.2531384514183</v>
      </c>
      <c r="AF102" s="32" t="str">
        <f t="shared" si="129"/>
        <v>249,914648392112</v>
      </c>
      <c r="AG102" s="32" t="str">
        <f t="shared" si="110"/>
        <v>1+0,456424730110613i</v>
      </c>
      <c r="AH102" s="32">
        <f t="shared" si="130"/>
        <v>1.09923770598381</v>
      </c>
      <c r="AI102" s="32">
        <f t="shared" si="131"/>
        <v>0.428183871840794</v>
      </c>
      <c r="AJ102" s="32" t="str">
        <f t="shared" si="111"/>
        <v>1+0,0068159426363185i</v>
      </c>
      <c r="AK102" s="32">
        <f t="shared" si="132"/>
        <v>1.00002322826723</v>
      </c>
      <c r="AL102" s="32">
        <f t="shared" si="133"/>
        <v>0.00681583708967666</v>
      </c>
      <c r="AM102" s="32" t="str">
        <f t="shared" si="112"/>
        <v>1-0,000689755879621327i</v>
      </c>
      <c r="AN102" s="32">
        <f t="shared" si="134"/>
        <v>1.00000023788156</v>
      </c>
      <c r="AO102" s="32">
        <f t="shared" si="135"/>
        <v>-0.000689755770234543</v>
      </c>
      <c r="AP102" s="30" t="str">
        <f t="shared" si="136"/>
        <v>207,406885117169-93,1346077534022i</v>
      </c>
      <c r="AQ102" s="32">
        <f t="shared" si="137"/>
        <v>47.1342057282992</v>
      </c>
      <c r="AR102" s="31">
        <f t="shared" si="138"/>
        <v>-24.18213010749</v>
      </c>
      <c r="AS102" t="str">
        <f t="shared" si="113"/>
        <v>-0,000100699300699301</v>
      </c>
      <c r="AT102" t="str">
        <f t="shared" si="114"/>
        <v>0,0000976748922436713i</v>
      </c>
      <c r="AU102">
        <f t="shared" si="139"/>
        <v>9.76748922436713e-5</v>
      </c>
      <c r="AV102">
        <f t="shared" si="140"/>
        <v>1.5707963267949</v>
      </c>
      <c r="AW102" t="str">
        <f t="shared" si="115"/>
        <v>1+0,00500077532937434i</v>
      </c>
      <c r="AX102">
        <f t="shared" si="141"/>
        <v>1.00001250379877</v>
      </c>
      <c r="AY102">
        <f t="shared" si="142"/>
        <v>0.00500073364394691</v>
      </c>
      <c r="AZ102" t="str">
        <f t="shared" si="116"/>
        <v>1+0,239079620534131i</v>
      </c>
      <c r="BA102">
        <f t="shared" si="143"/>
        <v>1.0281824084056</v>
      </c>
      <c r="BB102">
        <f t="shared" si="144"/>
        <v>0.234674546242204</v>
      </c>
      <c r="BC102" s="30" t="str">
        <f t="shared" si="145"/>
        <v>-0,241320835086103+1,03217082293661i</v>
      </c>
      <c r="BD102" s="32">
        <f t="shared" si="146"/>
        <v>0.506165052566072</v>
      </c>
      <c r="BE102" s="31">
        <f t="shared" si="147"/>
        <v>103.159340126559</v>
      </c>
      <c r="BF102" s="30" t="str">
        <f t="shared" si="148"/>
        <v>24,3823751118806+60,0651991884501i</v>
      </c>
      <c r="BG102" s="68">
        <f t="shared" si="149"/>
        <v>36.2348998513629</v>
      </c>
      <c r="BH102" s="31">
        <f t="shared" si="150"/>
        <v>67.9062016751404</v>
      </c>
      <c r="BI102" s="30" t="str">
        <f t="shared" si="103"/>
        <v>46,0792220096249+236,554656612575i</v>
      </c>
      <c r="BJ102" s="68">
        <f t="shared" si="151"/>
        <v>47.6403707808653</v>
      </c>
      <c r="BK102" s="31">
        <f t="shared" si="104"/>
        <v>78.9772100190687</v>
      </c>
      <c r="BL102" s="32">
        <f t="shared" si="152"/>
        <v>36.2348998513629</v>
      </c>
      <c r="BM102" s="31">
        <f t="shared" si="153"/>
        <v>67.9062016751404</v>
      </c>
      <c r="BO102">
        <f t="shared" si="154"/>
        <v>0</v>
      </c>
      <c r="BP102">
        <f t="shared" si="155"/>
        <v>0</v>
      </c>
    </row>
    <row r="103" spans="14:68">
      <c r="N103" s="7">
        <v>85</v>
      </c>
      <c r="O103" s="18">
        <f t="shared" si="117"/>
        <v>70.7945784384139</v>
      </c>
      <c r="P103" s="86" t="str">
        <f t="shared" si="105"/>
        <v>75</v>
      </c>
      <c r="Q103" s="4" t="str">
        <f t="shared" si="106"/>
        <v>1+0,726531909951284i</v>
      </c>
      <c r="R103" s="4">
        <f t="shared" si="118"/>
        <v>1.23606173639404</v>
      </c>
      <c r="S103" s="4">
        <f t="shared" si="119"/>
        <v>0.628311581076252</v>
      </c>
      <c r="T103" s="4" t="str">
        <f t="shared" si="107"/>
        <v>1+0,00697470633553234i</v>
      </c>
      <c r="U103" s="4">
        <f t="shared" si="120"/>
        <v>1.00002432296843</v>
      </c>
      <c r="V103" s="4">
        <f t="shared" si="121"/>
        <v>0.00697459324041657</v>
      </c>
      <c r="W103" t="str">
        <f t="shared" si="108"/>
        <v>1-0,00365860711796897i</v>
      </c>
      <c r="X103" s="4">
        <f t="shared" si="122"/>
        <v>1.00000669268063</v>
      </c>
      <c r="Y103" s="4">
        <f t="shared" si="123"/>
        <v>-0.00365859079411946</v>
      </c>
      <c r="Z103" t="str">
        <f t="shared" si="109"/>
        <v>0,999999959086756+0,00114807776740782i</v>
      </c>
      <c r="AA103" s="4">
        <f t="shared" si="124"/>
        <v>1.00000061812785</v>
      </c>
      <c r="AB103" s="4">
        <f t="shared" si="125"/>
        <v>0.00114807730995932</v>
      </c>
      <c r="AC103" s="67" t="str">
        <f t="shared" si="126"/>
        <v>49,1673299864645-35,5590349619227i</v>
      </c>
      <c r="AD103" s="68">
        <f t="shared" si="127"/>
        <v>35.6606860428689</v>
      </c>
      <c r="AE103" s="31">
        <f t="shared" si="128"/>
        <v>-35.8753888542485</v>
      </c>
      <c r="AF103" s="32" t="str">
        <f t="shared" si="129"/>
        <v>249,914648392112</v>
      </c>
      <c r="AG103" s="32" t="str">
        <f t="shared" si="110"/>
        <v>1+0,467056227825826i</v>
      </c>
      <c r="AH103" s="32">
        <f t="shared" si="130"/>
        <v>1.10369448669045</v>
      </c>
      <c r="AI103" s="32">
        <f t="shared" si="131"/>
        <v>0.436947007166865</v>
      </c>
      <c r="AJ103" s="32" t="str">
        <f t="shared" si="111"/>
        <v>1+0,00697470633553234i</v>
      </c>
      <c r="AK103" s="32">
        <f t="shared" si="132"/>
        <v>1.00002432296843</v>
      </c>
      <c r="AL103" s="32">
        <f t="shared" si="133"/>
        <v>0.00697459324041657</v>
      </c>
      <c r="AM103" s="32" t="str">
        <f t="shared" si="112"/>
        <v>1-0,000705822358000952i</v>
      </c>
      <c r="AN103" s="32">
        <f t="shared" si="134"/>
        <v>1.00000024909257</v>
      </c>
      <c r="AO103" s="32">
        <f t="shared" si="135"/>
        <v>-0.000705822240790903</v>
      </c>
      <c r="AP103" s="30" t="str">
        <f t="shared" si="136"/>
        <v>205,762306772839-94,5358808950067i</v>
      </c>
      <c r="AQ103" s="32">
        <f t="shared" si="137"/>
        <v>47.0990702138663</v>
      </c>
      <c r="AR103" s="31">
        <f t="shared" si="138"/>
        <v>-24.6760452605213</v>
      </c>
      <c r="AS103" t="str">
        <f t="shared" si="113"/>
        <v>-0,000100699300699301</v>
      </c>
      <c r="AT103" t="str">
        <f t="shared" si="114"/>
        <v>0,0000999500327547267i</v>
      </c>
      <c r="AU103">
        <f t="shared" si="139"/>
        <v>9.99500327547267e-5</v>
      </c>
      <c r="AV103">
        <f t="shared" si="140"/>
        <v>1.5707963267949</v>
      </c>
      <c r="AW103" t="str">
        <f t="shared" si="115"/>
        <v>1+0,00511725835051925i</v>
      </c>
      <c r="AX103">
        <f t="shared" si="141"/>
        <v>1.0000130930808</v>
      </c>
      <c r="AY103">
        <f t="shared" si="142"/>
        <v>0.00511721368381059</v>
      </c>
      <c r="AZ103" t="str">
        <f t="shared" si="116"/>
        <v>1+0,244648500289718i</v>
      </c>
      <c r="BA103">
        <f t="shared" si="143"/>
        <v>1.02949156805387</v>
      </c>
      <c r="BB103">
        <f t="shared" si="144"/>
        <v>0.239935650172148</v>
      </c>
      <c r="BC103" s="30" t="str">
        <f t="shared" si="145"/>
        <v>-0,24132055067785+1,00873132480602i</v>
      </c>
      <c r="BD103" s="32">
        <f t="shared" si="146"/>
        <v>0.317212431223946</v>
      </c>
      <c r="BE103" s="31">
        <f t="shared" si="147"/>
        <v>103.454105362642</v>
      </c>
      <c r="BF103" s="30" t="str">
        <f t="shared" si="148"/>
        <v>24,0044252982707+58,1777518130052i</v>
      </c>
      <c r="BG103" s="68">
        <f t="shared" si="149"/>
        <v>35.9778984740928</v>
      </c>
      <c r="BH103" s="31">
        <f t="shared" si="150"/>
        <v>67.5787165083939</v>
      </c>
      <c r="BI103" s="30" t="str">
        <f t="shared" si="103"/>
        <v>45,706631197758+230,372335142507i</v>
      </c>
      <c r="BJ103" s="68">
        <f t="shared" si="151"/>
        <v>47.4162826450903</v>
      </c>
      <c r="BK103" s="31">
        <f t="shared" si="104"/>
        <v>78.7780601021211</v>
      </c>
      <c r="BL103" s="32">
        <f t="shared" si="152"/>
        <v>35.9778984740928</v>
      </c>
      <c r="BM103" s="31">
        <f t="shared" si="153"/>
        <v>67.5787165083939</v>
      </c>
      <c r="BO103">
        <f t="shared" si="154"/>
        <v>0</v>
      </c>
      <c r="BP103">
        <f t="shared" si="155"/>
        <v>0</v>
      </c>
    </row>
    <row r="104" spans="14:68">
      <c r="N104" s="7">
        <v>86</v>
      </c>
      <c r="O104" s="18">
        <f t="shared" si="117"/>
        <v>72.443596007499</v>
      </c>
      <c r="P104" s="86" t="str">
        <f t="shared" si="105"/>
        <v>75</v>
      </c>
      <c r="Q104" s="4" t="str">
        <f t="shared" si="106"/>
        <v>1+0,743455012121499i</v>
      </c>
      <c r="R104" s="4">
        <f t="shared" si="118"/>
        <v>1.24608400802216</v>
      </c>
      <c r="S104" s="4">
        <f t="shared" si="119"/>
        <v>0.639299140324571</v>
      </c>
      <c r="T104" s="4" t="str">
        <f t="shared" si="107"/>
        <v>1+0,0071371681163664i</v>
      </c>
      <c r="U104" s="4">
        <f t="shared" si="120"/>
        <v>1.00002546926002</v>
      </c>
      <c r="V104" s="4">
        <f t="shared" si="121"/>
        <v>0.00713704693293321</v>
      </c>
      <c r="W104" t="str">
        <f t="shared" si="108"/>
        <v>1-0,00374382702532612i</v>
      </c>
      <c r="X104" s="4">
        <f t="shared" si="122"/>
        <v>1.00000700809584</v>
      </c>
      <c r="Y104" s="4">
        <f t="shared" si="123"/>
        <v>-0.00374380953401286</v>
      </c>
      <c r="Z104" t="str">
        <f t="shared" si="109"/>
        <v>0,999999957158575+0,00117481993398175i</v>
      </c>
      <c r="AA104" s="4">
        <f t="shared" si="124"/>
        <v>1.00000064725931</v>
      </c>
      <c r="AB104" s="4">
        <f t="shared" si="125"/>
        <v>0.00117481944381686</v>
      </c>
      <c r="AC104" s="67" t="str">
        <f t="shared" si="126"/>
        <v>48,3832529360441-35,8043853919261i</v>
      </c>
      <c r="AD104" s="68">
        <f t="shared" si="127"/>
        <v>35.590555289273</v>
      </c>
      <c r="AE104" s="31">
        <f t="shared" si="128"/>
        <v>-36.5020366009162</v>
      </c>
      <c r="AF104" s="32" t="str">
        <f t="shared" si="129"/>
        <v>249,914648392112</v>
      </c>
      <c r="AG104" s="32" t="str">
        <f t="shared" si="110"/>
        <v>1+0,477935364935249i</v>
      </c>
      <c r="AH104" s="32">
        <f t="shared" si="130"/>
        <v>1.10834210109325</v>
      </c>
      <c r="AI104" s="32">
        <f t="shared" si="131"/>
        <v>0.445840604690956</v>
      </c>
      <c r="AJ104" s="32" t="str">
        <f t="shared" si="111"/>
        <v>1+0,0071371681163664i</v>
      </c>
      <c r="AK104" s="32">
        <f t="shared" si="132"/>
        <v>1.00002546926002</v>
      </c>
      <c r="AL104" s="32">
        <f t="shared" si="133"/>
        <v>0.00713704693293321</v>
      </c>
      <c r="AM104" s="32" t="str">
        <f t="shared" si="112"/>
        <v>1-0,00072226307273745i</v>
      </c>
      <c r="AN104" s="32">
        <f t="shared" si="134"/>
        <v>1.00000026083194</v>
      </c>
      <c r="AO104" s="32">
        <f t="shared" si="135"/>
        <v>-0.000722262947144621</v>
      </c>
      <c r="AP104" s="30" t="str">
        <f t="shared" si="136"/>
        <v>204,068397519613-95,9283253018402i</v>
      </c>
      <c r="AQ104" s="32">
        <f t="shared" si="137"/>
        <v>47.0625811243416</v>
      </c>
      <c r="AR104" s="31">
        <f t="shared" si="138"/>
        <v>-25.1772449354785</v>
      </c>
      <c r="AS104" t="str">
        <f t="shared" si="113"/>
        <v>-0,000100699300699301</v>
      </c>
      <c r="AT104" t="str">
        <f t="shared" si="114"/>
        <v>0,000102278168096144i</v>
      </c>
      <c r="AU104">
        <f t="shared" si="139"/>
        <v>0.000102278168096144</v>
      </c>
      <c r="AV104">
        <f t="shared" si="140"/>
        <v>1.5707963267949</v>
      </c>
      <c r="AW104" t="str">
        <f t="shared" si="115"/>
        <v>1+0,00523645460977651i</v>
      </c>
      <c r="AX104">
        <f t="shared" si="141"/>
        <v>1.00001371013446</v>
      </c>
      <c r="AY104">
        <f t="shared" si="142"/>
        <v>0.00523640674857132</v>
      </c>
      <c r="AZ104" t="str">
        <f t="shared" si="116"/>
        <v>1+0,250347095918464i</v>
      </c>
      <c r="BA104">
        <f t="shared" si="143"/>
        <v>1.03086064452709</v>
      </c>
      <c r="BB104">
        <f t="shared" si="144"/>
        <v>0.245305314949208</v>
      </c>
      <c r="BC104" s="30" t="str">
        <f t="shared" si="145"/>
        <v>-0,241320252866567+0,985826669238759i</v>
      </c>
      <c r="BD104" s="32">
        <f t="shared" si="146"/>
        <v>0.128750388191171</v>
      </c>
      <c r="BE104" s="31">
        <f t="shared" si="147"/>
        <v>103.75493523221</v>
      </c>
      <c r="BF104" s="30" t="str">
        <f t="shared" si="148"/>
        <v>23,6210591620301+56,3378244253884i</v>
      </c>
      <c r="BG104" s="68">
        <f t="shared" si="149"/>
        <v>35.7193056774642</v>
      </c>
      <c r="BH104" s="31">
        <f t="shared" si="150"/>
        <v>67.2528986312939</v>
      </c>
      <c r="BI104" s="30" t="str">
        <f t="shared" si="103"/>
        <v>45,3228641264572+224,325516342557i</v>
      </c>
      <c r="BJ104" s="68">
        <f t="shared" si="151"/>
        <v>47.1913315125328</v>
      </c>
      <c r="BK104" s="31">
        <f t="shared" si="104"/>
        <v>78.5776902967316</v>
      </c>
      <c r="BL104" s="32">
        <f t="shared" si="152"/>
        <v>35.7193056774642</v>
      </c>
      <c r="BM104" s="31">
        <f t="shared" si="153"/>
        <v>67.2528986312939</v>
      </c>
      <c r="BO104">
        <f t="shared" si="154"/>
        <v>0</v>
      </c>
      <c r="BP104">
        <f t="shared" si="155"/>
        <v>0</v>
      </c>
    </row>
    <row r="105" spans="14:68">
      <c r="N105" s="7">
        <v>87</v>
      </c>
      <c r="O105" s="18">
        <f t="shared" si="117"/>
        <v>74.1310241300918</v>
      </c>
      <c r="P105" s="86" t="str">
        <f t="shared" si="105"/>
        <v>75</v>
      </c>
      <c r="Q105" s="4" t="str">
        <f t="shared" si="106"/>
        <v>1+0,760772303979934i</v>
      </c>
      <c r="R105" s="4">
        <f t="shared" si="118"/>
        <v>1.25649293611343</v>
      </c>
      <c r="S105" s="4">
        <f t="shared" si="119"/>
        <v>0.650359810902222</v>
      </c>
      <c r="T105" s="4" t="str">
        <f t="shared" si="107"/>
        <v>1+0,00730341411820737i</v>
      </c>
      <c r="U105" s="4">
        <f t="shared" si="120"/>
        <v>1.00002666957326</v>
      </c>
      <c r="V105" s="4">
        <f t="shared" si="121"/>
        <v>0.00730328426800626</v>
      </c>
      <c r="W105" t="str">
        <f t="shared" si="108"/>
        <v>1-0,00383103195932753i</v>
      </c>
      <c r="X105" s="4">
        <f t="shared" si="122"/>
        <v>1.00000733837601</v>
      </c>
      <c r="Y105" s="4">
        <f t="shared" si="123"/>
        <v>-0.00383101321705512</v>
      </c>
      <c r="Z105" t="str">
        <f t="shared" si="109"/>
        <v>0,99999995513952+0,00120218500563526i</v>
      </c>
      <c r="AA105" s="4">
        <f t="shared" si="124"/>
        <v>1.00000067776369</v>
      </c>
      <c r="AB105" s="4">
        <f t="shared" si="125"/>
        <v>0.00120218448041414</v>
      </c>
      <c r="AC105" s="67" t="str">
        <f t="shared" si="126"/>
        <v>47,5887070784949-36,0339083062676i</v>
      </c>
      <c r="AD105" s="68">
        <f t="shared" si="127"/>
        <v>35.5183137393823</v>
      </c>
      <c r="AE105" s="31">
        <f t="shared" si="128"/>
        <v>-37.1328059500025</v>
      </c>
      <c r="AF105" s="32" t="str">
        <f t="shared" si="129"/>
        <v>249,914648392112</v>
      </c>
      <c r="AG105" s="32" t="str">
        <f t="shared" si="110"/>
        <v>1+0,489067909701386i</v>
      </c>
      <c r="AH105" s="32">
        <f t="shared" si="130"/>
        <v>1.11318795371657</v>
      </c>
      <c r="AI105" s="32">
        <f t="shared" si="131"/>
        <v>0.454863751320422</v>
      </c>
      <c r="AJ105" s="32" t="str">
        <f t="shared" si="111"/>
        <v>1+0,00730341411820737i</v>
      </c>
      <c r="AK105" s="32">
        <f t="shared" si="132"/>
        <v>1.00002666957326</v>
      </c>
      <c r="AL105" s="32">
        <f t="shared" si="133"/>
        <v>0.00730328426800626</v>
      </c>
      <c r="AM105" s="32" t="str">
        <f t="shared" si="112"/>
        <v>1-0,000739086740915398i</v>
      </c>
      <c r="AN105" s="32">
        <f t="shared" si="134"/>
        <v>1.00000027312457</v>
      </c>
      <c r="AO105" s="32">
        <f t="shared" si="135"/>
        <v>-0.000739086606340259</v>
      </c>
      <c r="AP105" s="30" t="str">
        <f t="shared" si="136"/>
        <v>202,324781338716-97,3100363216894i</v>
      </c>
      <c r="AQ105" s="32">
        <f t="shared" si="137"/>
        <v>47.0246983067252</v>
      </c>
      <c r="AR105" s="31">
        <f t="shared" si="138"/>
        <v>-25.6856723822454</v>
      </c>
      <c r="AS105" t="str">
        <f t="shared" si="113"/>
        <v>-0,000100699300699301</v>
      </c>
      <c r="AT105" t="str">
        <f t="shared" si="114"/>
        <v>0,000104660532676097i</v>
      </c>
      <c r="AU105">
        <f t="shared" si="139"/>
        <v>0.000104660532676097</v>
      </c>
      <c r="AV105">
        <f t="shared" si="140"/>
        <v>1.5707963267949</v>
      </c>
      <c r="AW105" t="str">
        <f t="shared" si="115"/>
        <v>1+0,00535842730658056i</v>
      </c>
      <c r="AX105">
        <f t="shared" si="141"/>
        <v>1.00001435626855</v>
      </c>
      <c r="AY105">
        <f t="shared" si="142"/>
        <v>0.00535837602241499</v>
      </c>
      <c r="AZ105" t="str">
        <f t="shared" si="116"/>
        <v>1+0,256178428891202i</v>
      </c>
      <c r="BA105">
        <f t="shared" si="143"/>
        <v>1.03229229747643</v>
      </c>
      <c r="BB105">
        <f t="shared" si="144"/>
        <v>0.250785148506615</v>
      </c>
      <c r="BC105" s="30" t="str">
        <f t="shared" si="145"/>
        <v>-0,24131994102066+0,963444711873466i</v>
      </c>
      <c r="BD105" s="32">
        <f t="shared" si="146"/>
        <v>-0.0592006823497995</v>
      </c>
      <c r="BE105" s="31">
        <f t="shared" si="147"/>
        <v>104.061918242862</v>
      </c>
      <c r="BF105" s="30" t="str">
        <f t="shared" si="148"/>
        <v>23,232574420375+54,5447888068837i</v>
      </c>
      <c r="BG105" s="68">
        <f t="shared" si="149"/>
        <v>35.4591130570326</v>
      </c>
      <c r="BH105" s="31">
        <f t="shared" si="150"/>
        <v>66.9291122928597</v>
      </c>
      <c r="BI105" s="30" t="str">
        <f t="shared" si="103"/>
        <v>44,9278356066697+218,41159288761i</v>
      </c>
      <c r="BJ105" s="68">
        <f t="shared" si="151"/>
        <v>46.9654976243754</v>
      </c>
      <c r="BK105" s="31">
        <f t="shared" si="104"/>
        <v>78.3762458606168</v>
      </c>
      <c r="BL105" s="32">
        <f t="shared" si="152"/>
        <v>35.4591130570326</v>
      </c>
      <c r="BM105" s="31">
        <f t="shared" si="153"/>
        <v>66.9291122928597</v>
      </c>
      <c r="BO105">
        <f t="shared" si="154"/>
        <v>0</v>
      </c>
      <c r="BP105">
        <f t="shared" si="155"/>
        <v>0</v>
      </c>
    </row>
    <row r="106" spans="14:68">
      <c r="N106" s="7">
        <v>88</v>
      </c>
      <c r="O106" s="18">
        <f t="shared" si="117"/>
        <v>75.8577575029184</v>
      </c>
      <c r="P106" s="86" t="str">
        <f t="shared" si="105"/>
        <v>75</v>
      </c>
      <c r="Q106" s="4" t="str">
        <f t="shared" si="106"/>
        <v>1+0,77849296738395i</v>
      </c>
      <c r="R106" s="4">
        <f t="shared" si="118"/>
        <v>1.26730079312935</v>
      </c>
      <c r="S106" s="4">
        <f t="shared" si="119"/>
        <v>0.661488632566332</v>
      </c>
      <c r="T106" s="4" t="str">
        <f t="shared" si="107"/>
        <v>1+0,00747353248688593i</v>
      </c>
      <c r="U106" s="4">
        <f t="shared" si="120"/>
        <v>1.00002792645397</v>
      </c>
      <c r="V106" s="4">
        <f t="shared" si="121"/>
        <v>0.0074733933500985</v>
      </c>
      <c r="W106" t="str">
        <f t="shared" si="108"/>
        <v>1-0,00392026815718347i</v>
      </c>
      <c r="X106" s="4">
        <f t="shared" si="122"/>
        <v>1.00000768422169</v>
      </c>
      <c r="Y106" s="4">
        <f t="shared" si="123"/>
        <v>-0.0039202480744851</v>
      </c>
      <c r="Z106" t="str">
        <f t="shared" si="109"/>
        <v>0,999999953025311+0,00123018749169156i</v>
      </c>
      <c r="AA106" s="4">
        <f t="shared" si="124"/>
        <v>1.00000070970569</v>
      </c>
      <c r="AB106" s="4">
        <f t="shared" si="125"/>
        <v>0.00123018692890701</v>
      </c>
      <c r="AC106" s="67" t="str">
        <f t="shared" si="126"/>
        <v>46,7843401573696-36,2470519963552i</v>
      </c>
      <c r="AD106" s="68">
        <f t="shared" si="127"/>
        <v>35.4439342767873</v>
      </c>
      <c r="AE106" s="31">
        <f t="shared" si="128"/>
        <v>-37.76741113268</v>
      </c>
      <c r="AF106" s="32" t="str">
        <f t="shared" si="129"/>
        <v>249,914648392112</v>
      </c>
      <c r="AG106" s="32" t="str">
        <f t="shared" si="110"/>
        <v>1+0,500459764746825i</v>
      </c>
      <c r="AH106" s="32">
        <f t="shared" si="130"/>
        <v>1.1182396774084</v>
      </c>
      <c r="AI106" s="32">
        <f t="shared" si="131"/>
        <v>0.464015353151367</v>
      </c>
      <c r="AJ106" s="32" t="str">
        <f t="shared" si="111"/>
        <v>1+0,00747353248688593i</v>
      </c>
      <c r="AK106" s="32">
        <f t="shared" si="132"/>
        <v>1.00002792645397</v>
      </c>
      <c r="AL106" s="32">
        <f t="shared" si="133"/>
        <v>0.0074733933500985</v>
      </c>
      <c r="AM106" s="32" t="str">
        <f t="shared" si="112"/>
        <v>1-0,000756302282666349i</v>
      </c>
      <c r="AN106" s="32">
        <f t="shared" si="134"/>
        <v>1.00000028599653</v>
      </c>
      <c r="AO106" s="32">
        <f t="shared" si="135"/>
        <v>-0.000756302138466492</v>
      </c>
      <c r="AP106" s="30" t="str">
        <f t="shared" si="136"/>
        <v>200,53116828514-98,6790470797308i</v>
      </c>
      <c r="AQ106" s="32">
        <f t="shared" si="137"/>
        <v>46.9853813385012</v>
      </c>
      <c r="AR106" s="31">
        <f t="shared" si="138"/>
        <v>-26.2012603878148</v>
      </c>
      <c r="AS106" t="str">
        <f t="shared" si="113"/>
        <v>-0,000100699300699301</v>
      </c>
      <c r="AT106" t="str">
        <f t="shared" si="114"/>
        <v>0,000107098389655821i</v>
      </c>
      <c r="AU106">
        <f t="shared" si="139"/>
        <v>0.000107098389655821</v>
      </c>
      <c r="AV106">
        <f t="shared" si="140"/>
        <v>1.5707963267949</v>
      </c>
      <c r="AW106" t="str">
        <f t="shared" si="115"/>
        <v>1+0,00548324111246972i</v>
      </c>
      <c r="AX106">
        <f t="shared" si="141"/>
        <v>1.00001503285356</v>
      </c>
      <c r="AY106">
        <f t="shared" si="142"/>
        <v>0.00548318616054088</v>
      </c>
      <c r="AZ106" t="str">
        <f t="shared" si="116"/>
        <v>1+0,262145591057861i</v>
      </c>
      <c r="BA106">
        <f t="shared" si="143"/>
        <v>1.03378929715444</v>
      </c>
      <c r="BB106">
        <f t="shared" si="144"/>
        <v>0.256376739353395</v>
      </c>
      <c r="BC106" s="30" t="str">
        <f t="shared" si="145"/>
        <v>-0,241319614478771+0,941573585489563i</v>
      </c>
      <c r="BD106" s="32">
        <f t="shared" si="146"/>
        <v>-0.246619663792863</v>
      </c>
      <c r="BE106" s="31">
        <f t="shared" si="147"/>
        <v>104.375141704992</v>
      </c>
      <c r="BF106" s="30" t="str">
        <f t="shared" si="148"/>
        <v>22,8392877812147+52,7980235204902i</v>
      </c>
      <c r="BG106" s="68">
        <f t="shared" si="149"/>
        <v>35.1973146129945</v>
      </c>
      <c r="BH106" s="31">
        <f t="shared" si="150"/>
        <v>66.6077305723115</v>
      </c>
      <c r="BI106" s="30" t="str">
        <f t="shared" si="103"/>
        <v>44,521479950008+212,628040723063i</v>
      </c>
      <c r="BJ106" s="68">
        <f t="shared" si="151"/>
        <v>46.7387616747083</v>
      </c>
      <c r="BK106" s="31">
        <f t="shared" si="104"/>
        <v>78.1738813171767</v>
      </c>
      <c r="BL106" s="32">
        <f t="shared" si="152"/>
        <v>35.1973146129945</v>
      </c>
      <c r="BM106" s="31">
        <f t="shared" si="153"/>
        <v>66.6077305723115</v>
      </c>
      <c r="BO106">
        <f t="shared" si="154"/>
        <v>0</v>
      </c>
      <c r="BP106">
        <f t="shared" si="155"/>
        <v>0</v>
      </c>
    </row>
    <row r="107" spans="14:68">
      <c r="N107" s="7">
        <v>89</v>
      </c>
      <c r="O107" s="18">
        <f t="shared" si="117"/>
        <v>77.6247116628692</v>
      </c>
      <c r="P107" s="86" t="str">
        <f t="shared" si="105"/>
        <v>75</v>
      </c>
      <c r="Q107" s="4" t="str">
        <f t="shared" si="106"/>
        <v>1+0,796626398063847i</v>
      </c>
      <c r="R107" s="4">
        <f t="shared" si="118"/>
        <v>1.27852008904521</v>
      </c>
      <c r="S107" s="4">
        <f t="shared" si="119"/>
        <v>0.672680479964094</v>
      </c>
      <c r="T107" s="4" t="str">
        <f t="shared" si="107"/>
        <v>1+0,00764761342141294i</v>
      </c>
      <c r="U107" s="4">
        <f t="shared" si="120"/>
        <v>1.00002924256796</v>
      </c>
      <c r="V107" s="4">
        <f t="shared" si="121"/>
        <v>0.0076474643338946</v>
      </c>
      <c r="W107" t="str">
        <f t="shared" si="108"/>
        <v>1-0,00401158293310723i</v>
      </c>
      <c r="X107" s="4">
        <f t="shared" si="122"/>
        <v>1.00000804636644</v>
      </c>
      <c r="Y107" s="4">
        <f t="shared" si="123"/>
        <v>-0.00401156141411757</v>
      </c>
      <c r="Z107" t="str">
        <f t="shared" si="109"/>
        <v>0,999999950811462+0,00125884223943942i</v>
      </c>
      <c r="AA107" s="4">
        <f t="shared" si="124"/>
        <v>1.00000074315308</v>
      </c>
      <c r="AB107" s="4">
        <f t="shared" si="125"/>
        <v>0.00125884163640494</v>
      </c>
      <c r="AC107" s="67" t="str">
        <f t="shared" si="126"/>
        <v>45,9708370885276-36,4432964220551i</v>
      </c>
      <c r="AD107" s="68">
        <f t="shared" si="127"/>
        <v>35.3673915690779</v>
      </c>
      <c r="AE107" s="31">
        <f t="shared" si="128"/>
        <v>-38.405556883596</v>
      </c>
      <c r="AF107" s="32" t="str">
        <f t="shared" si="129"/>
        <v>249,914648392112</v>
      </c>
      <c r="AG107" s="32" t="str">
        <f t="shared" si="110"/>
        <v>1+0,512116970183901i</v>
      </c>
      <c r="AH107" s="32">
        <f t="shared" si="130"/>
        <v>1.12350513623674</v>
      </c>
      <c r="AI107" s="32">
        <f t="shared" si="131"/>
        <v>0.473294129824231</v>
      </c>
      <c r="AJ107" s="32" t="str">
        <f t="shared" si="111"/>
        <v>1+0,00764761342141294i</v>
      </c>
      <c r="AK107" s="32">
        <f t="shared" si="132"/>
        <v>1.00002924256796</v>
      </c>
      <c r="AL107" s="32">
        <f t="shared" si="133"/>
        <v>0.0076474643338946</v>
      </c>
      <c r="AM107" s="32" t="str">
        <f t="shared" si="112"/>
        <v>1-0,000773918825898413i</v>
      </c>
      <c r="AN107" s="32">
        <f t="shared" si="134"/>
        <v>1.00000029947513</v>
      </c>
      <c r="AO107" s="32">
        <f t="shared" si="135"/>
        <v>-0.000773918671385485</v>
      </c>
      <c r="AP107" s="30" t="str">
        <f t="shared" si="136"/>
        <v>198,687360571206-100,03333214157i</v>
      </c>
      <c r="AQ107" s="32">
        <f t="shared" si="137"/>
        <v>46.9445895999781</v>
      </c>
      <c r="AR107" s="31">
        <f t="shared" si="138"/>
        <v>-26.7239309504932</v>
      </c>
      <c r="AS107" t="str">
        <f t="shared" si="113"/>
        <v>-0,000100699300699301</v>
      </c>
      <c r="AT107" t="str">
        <f t="shared" si="114"/>
        <v>0,000109593031619355i</v>
      </c>
      <c r="AU107">
        <f t="shared" si="139"/>
        <v>0.000109593031619355</v>
      </c>
      <c r="AV107">
        <f t="shared" si="140"/>
        <v>1.5707963267949</v>
      </c>
      <c r="AW107" t="str">
        <f t="shared" si="115"/>
        <v>1+0,005610962205376i</v>
      </c>
      <c r="AX107">
        <f t="shared" si="141"/>
        <v>1.00001574132454</v>
      </c>
      <c r="AY107">
        <f t="shared" si="142"/>
        <v>0.00561090332337344</v>
      </c>
      <c r="AZ107" t="str">
        <f t="shared" si="116"/>
        <v>1+0,268251746286805i</v>
      </c>
      <c r="BA107">
        <f t="shared" si="143"/>
        <v>1.03535452835535</v>
      </c>
      <c r="BB107">
        <f t="shared" si="144"/>
        <v>0.262081653031902</v>
      </c>
      <c r="BC107" s="30" t="str">
        <f t="shared" si="145"/>
        <v>-0,241319272548386+0,920201693715083i</v>
      </c>
      <c r="BD107" s="32">
        <f t="shared" si="146"/>
        <v>-0.433484702803847</v>
      </c>
      <c r="BE107" s="31">
        <f t="shared" si="147"/>
        <v>104.694691526855</v>
      </c>
      <c r="BF107" s="30" t="str">
        <f t="shared" si="148"/>
        <v>22,4415341274921+51,0969119321988i</v>
      </c>
      <c r="BG107" s="68">
        <f t="shared" si="149"/>
        <v>34.9339068662741</v>
      </c>
      <c r="BH107" s="31">
        <f t="shared" si="150"/>
        <v>66.2891346432588</v>
      </c>
      <c r="BI107" s="30" t="str">
        <f t="shared" si="103"/>
        <v>44,1037523470339+206,972416660398i</v>
      </c>
      <c r="BJ107" s="68">
        <f t="shared" si="151"/>
        <v>46.5111048971743</v>
      </c>
      <c r="BK107" s="31">
        <f t="shared" si="104"/>
        <v>77.9707605763616</v>
      </c>
      <c r="BL107" s="32">
        <f t="shared" si="152"/>
        <v>34.9339068662741</v>
      </c>
      <c r="BM107" s="31">
        <f t="shared" si="153"/>
        <v>66.2891346432588</v>
      </c>
      <c r="BO107">
        <f t="shared" si="154"/>
        <v>0</v>
      </c>
      <c r="BP107">
        <f t="shared" si="155"/>
        <v>0</v>
      </c>
    </row>
    <row r="108" spans="14:68">
      <c r="N108" s="7">
        <v>90</v>
      </c>
      <c r="O108" s="18">
        <f t="shared" si="117"/>
        <v>79.4328234724282</v>
      </c>
      <c r="P108" s="86" t="str">
        <f t="shared" si="105"/>
        <v>75</v>
      </c>
      <c r="Q108" s="4" t="str">
        <f t="shared" si="106"/>
        <v>1+0,815182210604593i</v>
      </c>
      <c r="R108" s="4">
        <f t="shared" si="118"/>
        <v>1.29016356966324</v>
      </c>
      <c r="S108" s="4">
        <f t="shared" si="119"/>
        <v>0.683930072845413</v>
      </c>
      <c r="T108" s="4" t="str">
        <f t="shared" si="107"/>
        <v>1+0,0078257492218041i</v>
      </c>
      <c r="U108" s="4">
        <f t="shared" si="120"/>
        <v>1.00003062070663</v>
      </c>
      <c r="V108" s="4">
        <f t="shared" si="121"/>
        <v>0.00782558947191421</v>
      </c>
      <c r="W108" t="str">
        <f t="shared" si="108"/>
        <v>1-0,0041050247034017i</v>
      </c>
      <c r="X108" s="4">
        <f t="shared" si="122"/>
        <v>1.00000842557841</v>
      </c>
      <c r="Y108" s="4">
        <f t="shared" si="123"/>
        <v>-0.00410500164539934</v>
      </c>
      <c r="Z108" t="str">
        <f t="shared" si="109"/>
        <v>0,999999948493278+0,00128816444200537i</v>
      </c>
      <c r="AA108" s="4">
        <f t="shared" si="124"/>
        <v>1.00000077817679</v>
      </c>
      <c r="AB108" s="4">
        <f t="shared" si="125"/>
        <v>0.00128816379584231</v>
      </c>
      <c r="AC108" s="67" t="str">
        <f t="shared" si="126"/>
        <v>45,1489180065517-36,6221561832298i</v>
      </c>
      <c r="AD108" s="68">
        <f t="shared" si="127"/>
        <v>35.2886621647832</v>
      </c>
      <c r="AE108" s="31">
        <f t="shared" si="128"/>
        <v>-39.0469390251734</v>
      </c>
      <c r="AF108" s="32" t="str">
        <f t="shared" si="129"/>
        <v>249,914648392112</v>
      </c>
      <c r="AG108" s="32" t="str">
        <f t="shared" si="110"/>
        <v>1+0,524045706817238i</v>
      </c>
      <c r="AH108" s="32">
        <f t="shared" si="130"/>
        <v>1.128992428156</v>
      </c>
      <c r="AI108" s="32">
        <f t="shared" si="131"/>
        <v>0.482698609248073</v>
      </c>
      <c r="AJ108" s="32" t="str">
        <f t="shared" si="111"/>
        <v>1+0,0078257492218041i</v>
      </c>
      <c r="AK108" s="32">
        <f t="shared" si="132"/>
        <v>1.00003062070663</v>
      </c>
      <c r="AL108" s="32">
        <f t="shared" si="133"/>
        <v>0.00782558947191421</v>
      </c>
      <c r="AM108" s="32" t="str">
        <f t="shared" si="112"/>
        <v>1-0,000791945711135995i</v>
      </c>
      <c r="AN108" s="32">
        <f t="shared" si="134"/>
        <v>1.00000031358896</v>
      </c>
      <c r="AO108" s="32">
        <f t="shared" si="135"/>
        <v>-0.000791945545572412</v>
      </c>
      <c r="AP108" s="30" t="str">
        <f t="shared" si="136"/>
        <v>196,793258561808-101,370811748662i</v>
      </c>
      <c r="AQ108" s="32">
        <f t="shared" si="137"/>
        <v>46.9022823515337</v>
      </c>
      <c r="AR108" s="31">
        <f t="shared" si="138"/>
        <v>-27.2535949751718</v>
      </c>
      <c r="AS108" t="str">
        <f t="shared" si="113"/>
        <v>-0,000100699300699301</v>
      </c>
      <c r="AT108" t="str">
        <f t="shared" si="114"/>
        <v>0,000112145781258889i</v>
      </c>
      <c r="AU108">
        <f t="shared" si="139"/>
        <v>0.000112145781258889</v>
      </c>
      <c r="AV108">
        <f t="shared" si="140"/>
        <v>1.5707963267949</v>
      </c>
      <c r="AW108" t="str">
        <f t="shared" si="115"/>
        <v>1+0,00574165830471343i</v>
      </c>
      <c r="AX108">
        <f t="shared" si="141"/>
        <v>1.0000164831842</v>
      </c>
      <c r="AY108">
        <f t="shared" si="142"/>
        <v>0.00574159521156713</v>
      </c>
      <c r="AZ108" t="str">
        <f t="shared" si="116"/>
        <v>1+0,274500132142363i</v>
      </c>
      <c r="BA108">
        <f t="shared" si="143"/>
        <v>1.03699099443832</v>
      </c>
      <c r="BB108">
        <f t="shared" si="144"/>
        <v>0.267901428372634</v>
      </c>
      <c r="BC108" s="30" t="str">
        <f t="shared" si="145"/>
        <v>-0,241318914504356+0,899317704878038i</v>
      </c>
      <c r="BD108" s="32">
        <f t="shared" si="146"/>
        <v>-0.619773195817124</v>
      </c>
      <c r="BE108" s="31">
        <f t="shared" si="147"/>
        <v>105.020651997983</v>
      </c>
      <c r="BF108" s="30" t="str">
        <f t="shared" si="148"/>
        <v>22,039665562+49,4408402963248i</v>
      </c>
      <c r="BG108" s="68">
        <f t="shared" si="149"/>
        <v>34.668888968966</v>
      </c>
      <c r="BH108" s="31">
        <f t="shared" si="150"/>
        <v>65.9737129728096</v>
      </c>
      <c r="BI108" s="30" t="str">
        <f t="shared" si="103"/>
        <v>43,6746302255198+201,442355878888i</v>
      </c>
      <c r="BJ108" s="68">
        <f t="shared" si="151"/>
        <v>46.2825091557166</v>
      </c>
      <c r="BK108" s="31">
        <f t="shared" si="104"/>
        <v>77.7670570228112</v>
      </c>
      <c r="BL108" s="32">
        <f t="shared" si="152"/>
        <v>34.668888968966</v>
      </c>
      <c r="BM108" s="31">
        <f t="shared" si="153"/>
        <v>65.9737129728096</v>
      </c>
      <c r="BO108">
        <f t="shared" si="154"/>
        <v>0</v>
      </c>
      <c r="BP108">
        <f t="shared" si="155"/>
        <v>0</v>
      </c>
    </row>
    <row r="109" spans="14:68">
      <c r="N109" s="7">
        <v>91</v>
      </c>
      <c r="O109" s="18">
        <f t="shared" si="117"/>
        <v>81.28305161641</v>
      </c>
      <c r="P109" s="86" t="str">
        <f t="shared" si="105"/>
        <v>75</v>
      </c>
      <c r="Q109" s="4" t="str">
        <f t="shared" si="106"/>
        <v>1+0,834170243543613i</v>
      </c>
      <c r="R109" s="4">
        <f t="shared" si="118"/>
        <v>1.30224421488967</v>
      </c>
      <c r="S109" s="4">
        <f t="shared" si="119"/>
        <v>0.695231987169973</v>
      </c>
      <c r="T109" s="4" t="str">
        <f t="shared" si="107"/>
        <v>1+0,00800803433801869i</v>
      </c>
      <c r="U109" s="4">
        <f t="shared" si="120"/>
        <v>1.00003206379294</v>
      </c>
      <c r="V109" s="4">
        <f t="shared" si="121"/>
        <v>0.00800786316322409</v>
      </c>
      <c r="W109" t="str">
        <f t="shared" si="108"/>
        <v>1-0,00420064301213034i</v>
      </c>
      <c r="X109" s="4">
        <f t="shared" si="122"/>
        <v>1.00000882266194</v>
      </c>
      <c r="Y109" s="4">
        <f t="shared" si="123"/>
        <v>-0.00420061830504745</v>
      </c>
      <c r="Z109" t="str">
        <f t="shared" si="109"/>
        <v>0,999999946065841+0,00131816964640934i</v>
      </c>
      <c r="AA109" s="4">
        <f t="shared" si="124"/>
        <v>1.00000081485112</v>
      </c>
      <c r="AB109" s="4">
        <f t="shared" si="125"/>
        <v>0.00131816895403318</v>
      </c>
      <c r="AC109" s="67" t="str">
        <f t="shared" si="126"/>
        <v>44,3193360335251-36,7831833520957i</v>
      </c>
      <c r="AD109" s="68">
        <f t="shared" si="127"/>
        <v>35.2077245847152</v>
      </c>
      <c r="AE109" s="31">
        <f t="shared" si="128"/>
        <v>-39.6912451031378</v>
      </c>
      <c r="AF109" s="32" t="str">
        <f t="shared" si="129"/>
        <v>249,914648392112</v>
      </c>
      <c r="AG109" s="32" t="str">
        <f t="shared" si="110"/>
        <v>1+0,536252299420894i</v>
      </c>
      <c r="AH109" s="32">
        <f t="shared" si="130"/>
        <v>1.13470988743123</v>
      </c>
      <c r="AI109" s="32">
        <f t="shared" si="131"/>
        <v>0.492227122747633</v>
      </c>
      <c r="AJ109" s="32" t="str">
        <f t="shared" si="111"/>
        <v>1+0,00800803433801869i</v>
      </c>
      <c r="AK109" s="32">
        <f t="shared" si="132"/>
        <v>1.00003206379294</v>
      </c>
      <c r="AL109" s="32">
        <f t="shared" si="133"/>
        <v>0.00800786316322409</v>
      </c>
      <c r="AM109" s="32" t="str">
        <f t="shared" si="112"/>
        <v>1-0,000810392496472261i</v>
      </c>
      <c r="AN109" s="32">
        <f t="shared" si="134"/>
        <v>1.00000032836795</v>
      </c>
      <c r="AO109" s="32">
        <f t="shared" si="135"/>
        <v>-0.000810392319067689</v>
      </c>
      <c r="AP109" s="30" t="str">
        <f t="shared" si="136"/>
        <v>194,84886662751-102,689356638475i</v>
      </c>
      <c r="AQ109" s="32">
        <f t="shared" si="137"/>
        <v>46.8584188156717</v>
      </c>
      <c r="AR109" s="31">
        <f t="shared" si="138"/>
        <v>-27.7901519927687</v>
      </c>
      <c r="AS109" t="str">
        <f t="shared" si="113"/>
        <v>-0,000100699300699301</v>
      </c>
      <c r="AT109" t="str">
        <f t="shared" si="114"/>
        <v>0,000114757992076071i</v>
      </c>
      <c r="AU109">
        <f t="shared" si="139"/>
        <v>0.000114757992076071</v>
      </c>
      <c r="AV109">
        <f t="shared" si="140"/>
        <v>1.5707963267949</v>
      </c>
      <c r="AW109" t="str">
        <f t="shared" si="115"/>
        <v>1+0,00587539870728384i</v>
      </c>
      <c r="AX109">
        <f t="shared" si="141"/>
        <v>1.00001726000603</v>
      </c>
      <c r="AY109">
        <f t="shared" si="142"/>
        <v>0.00587533110182257</v>
      </c>
      <c r="AZ109" t="str">
        <f t="shared" si="116"/>
        <v>1+0,280894061601421i</v>
      </c>
      <c r="BA109">
        <f t="shared" si="143"/>
        <v>1.03870182143045</v>
      </c>
      <c r="BB109">
        <f t="shared" si="144"/>
        <v>0.273837573542501</v>
      </c>
      <c r="BC109" s="30" t="str">
        <f t="shared" si="145"/>
        <v>-0,24131853958737+0,878910545998184i</v>
      </c>
      <c r="BD109" s="32">
        <f t="shared" si="146"/>
        <v>-0.805461776458744</v>
      </c>
      <c r="BE109" s="31">
        <f t="shared" si="147"/>
        <v>105.353105560712</v>
      </c>
      <c r="BF109" s="30" t="str">
        <f t="shared" si="148"/>
        <v>21,6340503164496+47,8291959194047i</v>
      </c>
      <c r="BG109" s="68">
        <f t="shared" si="149"/>
        <v>34.4022628082564</v>
      </c>
      <c r="BH109" s="31">
        <f t="shared" si="150"/>
        <v>65.6618604575744</v>
      </c>
      <c r="BI109" s="30" t="str">
        <f t="shared" si="103"/>
        <v>43,2341145765193+196,035569329876i</v>
      </c>
      <c r="BJ109" s="68">
        <f t="shared" si="151"/>
        <v>46.052957039213</v>
      </c>
      <c r="BK109" s="31">
        <f t="shared" si="104"/>
        <v>77.5629535679436</v>
      </c>
      <c r="BL109" s="32">
        <f t="shared" si="152"/>
        <v>34.4022628082564</v>
      </c>
      <c r="BM109" s="31">
        <f t="shared" si="153"/>
        <v>65.6618604575744</v>
      </c>
      <c r="BO109">
        <f t="shared" si="154"/>
        <v>0</v>
      </c>
      <c r="BP109">
        <f t="shared" si="155"/>
        <v>0</v>
      </c>
    </row>
    <row r="110" spans="14:68">
      <c r="N110" s="7">
        <v>92</v>
      </c>
      <c r="O110" s="18">
        <f t="shared" si="117"/>
        <v>83.1763771102671</v>
      </c>
      <c r="P110" s="86" t="str">
        <f t="shared" si="105"/>
        <v>75</v>
      </c>
      <c r="Q110" s="4" t="str">
        <f t="shared" si="106"/>
        <v>1+0,853600564587309i</v>
      </c>
      <c r="R110" s="4">
        <f t="shared" si="118"/>
        <v>1.31477523701345</v>
      </c>
      <c r="S110" s="4">
        <f t="shared" si="119"/>
        <v>0.706580667061265</v>
      </c>
      <c r="T110" s="4" t="str">
        <f t="shared" si="107"/>
        <v>1+0,00819456542003818i</v>
      </c>
      <c r="U110" s="4">
        <f t="shared" si="120"/>
        <v>1.00003357488758</v>
      </c>
      <c r="V110" s="4">
        <f t="shared" si="121"/>
        <v>0.00819438200327378</v>
      </c>
      <c r="W110" t="str">
        <f t="shared" si="108"/>
        <v>1-0,0042984885573861i</v>
      </c>
      <c r="X110" s="4">
        <f t="shared" si="122"/>
        <v>1.00000923845926</v>
      </c>
      <c r="Y110" s="4">
        <f t="shared" si="123"/>
        <v>-0.00429846208328302</v>
      </c>
      <c r="Z110" t="str">
        <f t="shared" si="109"/>
        <v>0,999999943524002+0,00134887376180788i</v>
      </c>
      <c r="AA110" s="4">
        <f t="shared" si="124"/>
        <v>1.00000085325385</v>
      </c>
      <c r="AB110" s="4">
        <f t="shared" si="125"/>
        <v>0.00134887301991349</v>
      </c>
      <c r="AC110" s="67" t="str">
        <f t="shared" si="126"/>
        <v>43,4828747814882-36,9259701367816i</v>
      </c>
      <c r="AD110" s="68">
        <f t="shared" si="127"/>
        <v>35.1245594069885</v>
      </c>
      <c r="AE110" s="31">
        <f t="shared" si="128"/>
        <v>-40.3381550705526</v>
      </c>
      <c r="AF110" s="32" t="str">
        <f t="shared" si="129"/>
        <v>249,914648392112</v>
      </c>
      <c r="AG110" s="32" t="str">
        <f t="shared" si="110"/>
        <v>1+0,548743220091842i</v>
      </c>
      <c r="AH110" s="32">
        <f t="shared" si="130"/>
        <v>1.14066608680927</v>
      </c>
      <c r="AI110" s="32">
        <f t="shared" si="131"/>
        <v>0.501877800688155</v>
      </c>
      <c r="AJ110" s="32" t="str">
        <f t="shared" si="111"/>
        <v>1+0,00819456542003818i</v>
      </c>
      <c r="AK110" s="32">
        <f t="shared" si="132"/>
        <v>1.00003357488758</v>
      </c>
      <c r="AL110" s="32">
        <f t="shared" si="133"/>
        <v>0.00819438200327378</v>
      </c>
      <c r="AM110" s="32" t="str">
        <f t="shared" si="112"/>
        <v>1-0,000829268962636971i</v>
      </c>
      <c r="AN110" s="32">
        <f t="shared" si="134"/>
        <v>1.00000034384345</v>
      </c>
      <c r="AO110" s="32">
        <f t="shared" si="135"/>
        <v>-0.000829268772544551</v>
      </c>
      <c r="AP110" s="30" t="str">
        <f t="shared" si="136"/>
        <v>192,854298798342-103,986793456701i</v>
      </c>
      <c r="AQ110" s="32">
        <f t="shared" si="137"/>
        <v>46.812958263752</v>
      </c>
      <c r="AR110" s="31">
        <f t="shared" si="138"/>
        <v>-28.3334899069824</v>
      </c>
      <c r="AS110" t="str">
        <f t="shared" si="113"/>
        <v>-0,000100699300699301</v>
      </c>
      <c r="AT110" t="str">
        <f t="shared" si="114"/>
        <v>0,000117431049099654i</v>
      </c>
      <c r="AU110">
        <f t="shared" si="139"/>
        <v>0.000117431049099654</v>
      </c>
      <c r="AV110">
        <f t="shared" si="140"/>
        <v>1.5707963267949</v>
      </c>
      <c r="AW110" t="str">
        <f t="shared" si="115"/>
        <v>1+0,00601225432401895i</v>
      </c>
      <c r="AX110">
        <f t="shared" si="141"/>
        <v>1.0000180734377</v>
      </c>
      <c r="AY110">
        <f t="shared" si="142"/>
        <v>0.00601218188353277</v>
      </c>
      <c r="AZ110" t="str">
        <f t="shared" si="116"/>
        <v>1+0,287436924810012i</v>
      </c>
      <c r="BA110">
        <f t="shared" si="143"/>
        <v>1.04049026220539</v>
      </c>
      <c r="BB110">
        <f t="shared" si="144"/>
        <v>0.279891561883425</v>
      </c>
      <c r="BC110" s="30" t="str">
        <f t="shared" si="145"/>
        <v>-0,241318147002337+0,858969396915894i</v>
      </c>
      <c r="BD110" s="32">
        <f t="shared" si="146"/>
        <v>-0.99052630403208</v>
      </c>
      <c r="BE110" s="31">
        <f t="shared" si="147"/>
        <v>105.692132569653</v>
      </c>
      <c r="BF110" s="30" t="str">
        <f t="shared" si="148"/>
        <v>21,2250715303222+46,261365416896i</v>
      </c>
      <c r="BG110" s="68">
        <f t="shared" si="149"/>
        <v>34.1340331029564</v>
      </c>
      <c r="BH110" s="31">
        <f t="shared" si="150"/>
        <v>65.3539774991009</v>
      </c>
      <c r="BI110" s="30" t="str">
        <f t="shared" si="103"/>
        <v>42,7822312352692+190,749841041135i</v>
      </c>
      <c r="BJ110" s="68">
        <f t="shared" si="151"/>
        <v>45.8224319597199</v>
      </c>
      <c r="BK110" s="31">
        <f t="shared" si="104"/>
        <v>77.3586426626711</v>
      </c>
      <c r="BL110" s="32">
        <f t="shared" si="152"/>
        <v>34.1340331029564</v>
      </c>
      <c r="BM110" s="31">
        <f t="shared" si="153"/>
        <v>65.3539774991009</v>
      </c>
      <c r="BO110">
        <f t="shared" si="154"/>
        <v>0</v>
      </c>
      <c r="BP110">
        <f t="shared" si="155"/>
        <v>0</v>
      </c>
    </row>
    <row r="111" spans="14:68">
      <c r="N111" s="7">
        <v>93</v>
      </c>
      <c r="O111" s="18">
        <f t="shared" si="117"/>
        <v>85.1138038202377</v>
      </c>
      <c r="P111" s="86" t="str">
        <f t="shared" si="105"/>
        <v>75</v>
      </c>
      <c r="Q111" s="4" t="str">
        <f t="shared" si="106"/>
        <v>1+0,873483475949088i</v>
      </c>
      <c r="R111" s="4">
        <f t="shared" si="118"/>
        <v>1.32777007902577</v>
      </c>
      <c r="S111" s="4">
        <f t="shared" si="119"/>
        <v>0.717970437551166</v>
      </c>
      <c r="T111" s="4" t="str">
        <f t="shared" si="107"/>
        <v>1+0,00838544136911126i</v>
      </c>
      <c r="U111" s="4">
        <f t="shared" si="120"/>
        <v>1.00003515719546</v>
      </c>
      <c r="V111" s="4">
        <f t="shared" si="121"/>
        <v>0.00838524483488046</v>
      </c>
      <c r="W111" t="str">
        <f t="shared" si="108"/>
        <v>1-0,0043986132181722i</v>
      </c>
      <c r="X111" s="4">
        <f t="shared" si="122"/>
        <v>1.00000967385233</v>
      </c>
      <c r="Y111" s="4">
        <f t="shared" si="123"/>
        <v>-0.00439858485067448</v>
      </c>
      <c r="Z111" t="str">
        <f t="shared" si="109"/>
        <v>0,999999940862371+0,00138029306792938i</v>
      </c>
      <c r="AA111" s="4">
        <f t="shared" si="124"/>
        <v>1.00000089346645</v>
      </c>
      <c r="AB111" s="4">
        <f t="shared" si="125"/>
        <v>0.00138029227297525</v>
      </c>
      <c r="AC111" s="67" t="str">
        <f t="shared" si="126"/>
        <v>42,6403456034495-37,0501513474861i</v>
      </c>
      <c r="AD111" s="68">
        <f t="shared" si="127"/>
        <v>35.0391493450225</v>
      </c>
      <c r="AE111" s="31">
        <f t="shared" si="128"/>
        <v>-40.9873420171301</v>
      </c>
      <c r="AF111" s="32" t="str">
        <f t="shared" si="129"/>
        <v>249,914648392112</v>
      </c>
      <c r="AG111" s="32" t="str">
        <f t="shared" si="110"/>
        <v>1+0,561525091681557i</v>
      </c>
      <c r="AH111" s="32">
        <f t="shared" si="130"/>
        <v>1.14686983942729</v>
      </c>
      <c r="AI111" s="32">
        <f t="shared" si="131"/>
        <v>0.511648568633391</v>
      </c>
      <c r="AJ111" s="32" t="str">
        <f t="shared" si="111"/>
        <v>1+0,00838544136911126i</v>
      </c>
      <c r="AK111" s="32">
        <f t="shared" si="132"/>
        <v>1.00003515719546</v>
      </c>
      <c r="AL111" s="32">
        <f t="shared" si="133"/>
        <v>0.00838524483488046</v>
      </c>
      <c r="AM111" s="32" t="str">
        <f t="shared" si="112"/>
        <v>1-0,000848585118182343i</v>
      </c>
      <c r="AN111" s="32">
        <f t="shared" si="134"/>
        <v>1.00000036004829</v>
      </c>
      <c r="AO111" s="32">
        <f t="shared" si="135"/>
        <v>-0.000848584914494649</v>
      </c>
      <c r="AP111" s="30" t="str">
        <f t="shared" si="136"/>
        <v>190,80978415816-105,260910763216i</v>
      </c>
      <c r="AQ111" s="32">
        <f t="shared" si="137"/>
        <v>46.7658601072087</v>
      </c>
      <c r="AR111" s="31">
        <f t="shared" si="138"/>
        <v>-28.8834847715394</v>
      </c>
      <c r="AS111" t="str">
        <f t="shared" si="113"/>
        <v>-0,000100699300699301</v>
      </c>
      <c r="AT111" t="str">
        <f t="shared" si="114"/>
        <v>0,000120166369619853i</v>
      </c>
      <c r="AU111">
        <f t="shared" si="139"/>
        <v>0.000120166369619853</v>
      </c>
      <c r="AV111">
        <f t="shared" si="140"/>
        <v>1.5707963267949</v>
      </c>
      <c r="AW111" t="str">
        <f t="shared" si="115"/>
        <v>1+0,00615229771757825i</v>
      </c>
      <c r="AX111">
        <f t="shared" si="141"/>
        <v>1.00001892520452</v>
      </c>
      <c r="AY111">
        <f t="shared" si="142"/>
        <v>0.00615222009627816</v>
      </c>
      <c r="AZ111" t="str">
        <f t="shared" si="116"/>
        <v>1+0,294132190880815i</v>
      </c>
      <c r="BA111">
        <f t="shared" si="143"/>
        <v>1.04235970073308</v>
      </c>
      <c r="BB111">
        <f t="shared" si="144"/>
        <v>0.286064827538998</v>
      </c>
      <c r="BC111" s="30" t="str">
        <f t="shared" si="145"/>
        <v>-0,241317735916711+0,839483684555127i</v>
      </c>
      <c r="BD111" s="32">
        <f t="shared" si="146"/>
        <v>-1.17494185320843</v>
      </c>
      <c r="BE111" s="31">
        <f t="shared" si="147"/>
        <v>106.03781103897</v>
      </c>
      <c r="BF111" s="30" t="str">
        <f t="shared" si="148"/>
        <v>20,8131259067822+44,7367330764346i</v>
      </c>
      <c r="BG111" s="68">
        <f t="shared" si="149"/>
        <v>33.864207491814</v>
      </c>
      <c r="BH111" s="31">
        <f t="shared" si="150"/>
        <v>65.0504690218399</v>
      </c>
      <c r="BI111" s="30" t="str">
        <f t="shared" si="103"/>
        <v>42,3190321033295+185,583025320171i</v>
      </c>
      <c r="BJ111" s="68">
        <f t="shared" si="151"/>
        <v>45.5909182540003</v>
      </c>
      <c r="BK111" s="31">
        <f t="shared" si="104"/>
        <v>77.1543262674306</v>
      </c>
      <c r="BL111" s="32">
        <f t="shared" si="152"/>
        <v>33.864207491814</v>
      </c>
      <c r="BM111" s="31">
        <f t="shared" si="153"/>
        <v>65.0504690218399</v>
      </c>
      <c r="BO111">
        <f t="shared" si="154"/>
        <v>0</v>
      </c>
      <c r="BP111">
        <f t="shared" si="155"/>
        <v>0</v>
      </c>
    </row>
    <row r="112" spans="14:68">
      <c r="N112" s="7">
        <v>94</v>
      </c>
      <c r="O112" s="18">
        <f t="shared" si="117"/>
        <v>87.0963589956081</v>
      </c>
      <c r="P112" s="86" t="str">
        <f t="shared" si="105"/>
        <v>75</v>
      </c>
      <c r="Q112" s="4" t="str">
        <f t="shared" si="106"/>
        <v>1+0,893829519811737i</v>
      </c>
      <c r="R112" s="4">
        <f t="shared" si="118"/>
        <v>1.34124241302118</v>
      </c>
      <c r="S112" s="4">
        <f t="shared" si="119"/>
        <v>0.729395518050065</v>
      </c>
      <c r="T112" s="4" t="str">
        <f t="shared" si="107"/>
        <v>1+0,00858076339019268i</v>
      </c>
      <c r="U112" s="4">
        <f t="shared" si="120"/>
        <v>1.00003681407254</v>
      </c>
      <c r="V112" s="4">
        <f t="shared" si="121"/>
        <v>0.00858055280038894</v>
      </c>
      <c r="W112" t="str">
        <f t="shared" si="108"/>
        <v>1-0,0045010700819091i</v>
      </c>
      <c r="X112" s="4">
        <f t="shared" si="122"/>
        <v>1.00001012976464</v>
      </c>
      <c r="Y112" s="4">
        <f t="shared" si="123"/>
        <v>-0.00450103968560428</v>
      </c>
      <c r="Z112" t="str">
        <f t="shared" si="109"/>
        <v>0,9999999380753+0,00141244422370584i</v>
      </c>
      <c r="AA112" s="4">
        <f t="shared" si="124"/>
        <v>1.00000093557421</v>
      </c>
      <c r="AB112" s="4">
        <f t="shared" si="125"/>
        <v>0.00141244337189719</v>
      </c>
      <c r="AC112" s="67" t="str">
        <f t="shared" si="126"/>
        <v>41,7925846112906-37,1554066381306i</v>
      </c>
      <c r="AD112" s="68">
        <f t="shared" si="127"/>
        <v>34.9514793178781</v>
      </c>
      <c r="AE112" s="31">
        <f t="shared" si="128"/>
        <v>-41.6384729400924</v>
      </c>
      <c r="AF112" s="32" t="str">
        <f t="shared" si="129"/>
        <v>249,914648392112</v>
      </c>
      <c r="AG112" s="32" t="str">
        <f t="shared" si="110"/>
        <v>1+0,574604691307545i</v>
      </c>
      <c r="AH112" s="32">
        <f t="shared" si="130"/>
        <v>1.15333020045113</v>
      </c>
      <c r="AI112" s="32">
        <f t="shared" si="131"/>
        <v>0.52153714409209</v>
      </c>
      <c r="AJ112" s="32" t="str">
        <f t="shared" si="111"/>
        <v>1+0,00858076339019268i</v>
      </c>
      <c r="AK112" s="32">
        <f t="shared" si="132"/>
        <v>1.00003681407254</v>
      </c>
      <c r="AL112" s="32">
        <f t="shared" si="133"/>
        <v>0.00858055280038894</v>
      </c>
      <c r="AM112" s="32" t="str">
        <f t="shared" si="112"/>
        <v>1-0,000868351204789726i</v>
      </c>
      <c r="AN112" s="32">
        <f t="shared" si="134"/>
        <v>1.00000037701684</v>
      </c>
      <c r="AO112" s="32">
        <f t="shared" si="135"/>
        <v>-0.000868350986534434</v>
      </c>
      <c r="AP112" s="30" t="str">
        <f t="shared" si="136"/>
        <v>188,715671917119-106,509465627262i</v>
      </c>
      <c r="AQ112" s="32">
        <f t="shared" si="137"/>
        <v>46.7170839930202</v>
      </c>
      <c r="AR112" s="31">
        <f t="shared" si="138"/>
        <v>-29.440000601096</v>
      </c>
      <c r="AS112" t="str">
        <f t="shared" si="113"/>
        <v>-0,000100699300699301</v>
      </c>
      <c r="AT112" t="str">
        <f t="shared" si="114"/>
        <v>0,000122965403939815i</v>
      </c>
      <c r="AU112">
        <f t="shared" si="139"/>
        <v>0.000122965403939815</v>
      </c>
      <c r="AV112">
        <f t="shared" si="140"/>
        <v>1.5707963267949</v>
      </c>
      <c r="AW112" t="str">
        <f t="shared" si="115"/>
        <v>1+0,0062956031408227i</v>
      </c>
      <c r="AX112">
        <f t="shared" si="141"/>
        <v>1.00001981711309</v>
      </c>
      <c r="AY112">
        <f t="shared" si="142"/>
        <v>0.00629551996819018</v>
      </c>
      <c r="AZ112" t="str">
        <f t="shared" si="116"/>
        <v>1+0,300983409732523i</v>
      </c>
      <c r="BA112">
        <f t="shared" si="143"/>
        <v>1.04431365639554</v>
      </c>
      <c r="BB112">
        <f t="shared" si="144"/>
        <v>0.292358760867851</v>
      </c>
      <c r="BC112" s="30" t="str">
        <f t="shared" si="145"/>
        <v>-0,241317305458718+0,820443077317347i</v>
      </c>
      <c r="BD112" s="32">
        <f t="shared" si="146"/>
        <v>-1.35868270507544</v>
      </c>
      <c r="BE112" s="31">
        <f t="shared" si="147"/>
        <v>106.390216377385</v>
      </c>
      <c r="BF112" s="30" t="str">
        <f t="shared" si="148"/>
        <v>20,3986222546131+43,2546793406695i</v>
      </c>
      <c r="BG112" s="68">
        <f t="shared" si="149"/>
        <v>33.5927966128026</v>
      </c>
      <c r="BH112" s="31">
        <f t="shared" si="150"/>
        <v>64.7517434372923</v>
      </c>
      <c r="BI112" s="30" t="str">
        <f t="shared" si="103"/>
        <v>41,8445962977864+180,533043856711i</v>
      </c>
      <c r="BJ112" s="68">
        <f t="shared" si="151"/>
        <v>45.3584012879448</v>
      </c>
      <c r="BK112" s="31">
        <f t="shared" si="104"/>
        <v>76.9502157762888</v>
      </c>
      <c r="BL112" s="32">
        <f t="shared" si="152"/>
        <v>33.5927966128026</v>
      </c>
      <c r="BM112" s="31">
        <f t="shared" si="153"/>
        <v>64.7517434372923</v>
      </c>
      <c r="BO112">
        <f t="shared" si="154"/>
        <v>0</v>
      </c>
      <c r="BP112">
        <f t="shared" si="155"/>
        <v>0</v>
      </c>
    </row>
    <row r="113" spans="14:68">
      <c r="N113" s="7">
        <v>95</v>
      </c>
      <c r="O113" s="18">
        <f t="shared" si="117"/>
        <v>89.1250938133746</v>
      </c>
      <c r="P113" s="86" t="str">
        <f t="shared" si="105"/>
        <v>75</v>
      </c>
      <c r="Q113" s="4" t="str">
        <f t="shared" si="106"/>
        <v>1+0,914649483917023i</v>
      </c>
      <c r="R113" s="4">
        <f t="shared" si="118"/>
        <v>1.35520613872196</v>
      </c>
      <c r="S113" s="4">
        <f t="shared" si="119"/>
        <v>0.74085003646946</v>
      </c>
      <c r="T113" s="4" t="str">
        <f t="shared" si="107"/>
        <v>1+0,00878063504560343i</v>
      </c>
      <c r="U113" s="4">
        <f t="shared" si="120"/>
        <v>1.00003854903289</v>
      </c>
      <c r="V113" s="4">
        <f t="shared" si="121"/>
        <v>0.00878040939503301</v>
      </c>
      <c r="W113" t="str">
        <f t="shared" si="108"/>
        <v>1-0,00460591347258215i</v>
      </c>
      <c r="X113" s="4">
        <f t="shared" si="122"/>
        <v>1.0000106071632</v>
      </c>
      <c r="Y113" s="4">
        <f t="shared" si="123"/>
        <v>-0.00460588090237338</v>
      </c>
      <c r="Z113" t="str">
        <f t="shared" si="109"/>
        <v>0,999999935156879+0,00144534427610561i</v>
      </c>
      <c r="AA113" s="4">
        <f t="shared" si="124"/>
        <v>1.00000097966644</v>
      </c>
      <c r="AB113" s="4">
        <f t="shared" si="125"/>
        <v>0.00144534336337625</v>
      </c>
      <c r="AC113" s="67" t="str">
        <f t="shared" si="126"/>
        <v>40,940449482194-37,241462498364i</v>
      </c>
      <c r="AD113" s="68">
        <f t="shared" si="127"/>
        <v>34.8615365123331</v>
      </c>
      <c r="AE113" s="31">
        <f t="shared" si="128"/>
        <v>-42.2912095523954</v>
      </c>
      <c r="AF113" s="32" t="str">
        <f t="shared" si="129"/>
        <v>249,914648392112</v>
      </c>
      <c r="AG113" s="32" t="str">
        <f t="shared" si="110"/>
        <v>1+0,587988953946658i</v>
      </c>
      <c r="AH113" s="32">
        <f t="shared" si="130"/>
        <v>1.16005646843733</v>
      </c>
      <c r="AI113" s="32">
        <f t="shared" si="131"/>
        <v>0.531541033907494</v>
      </c>
      <c r="AJ113" s="32" t="str">
        <f t="shared" si="111"/>
        <v>1+0,00878063504560343i</v>
      </c>
      <c r="AK113" s="32">
        <f t="shared" si="132"/>
        <v>1.00003854903289</v>
      </c>
      <c r="AL113" s="32">
        <f t="shared" si="133"/>
        <v>0.00878040939503301</v>
      </c>
      <c r="AM113" s="32" t="str">
        <f t="shared" si="112"/>
        <v>1-0,000888577702699879i</v>
      </c>
      <c r="AN113" s="32">
        <f t="shared" si="134"/>
        <v>1.00000039478509</v>
      </c>
      <c r="AO113" s="32">
        <f t="shared" si="135"/>
        <v>-0.000888577468835125</v>
      </c>
      <c r="AP113" s="30" t="str">
        <f t="shared" si="136"/>
        <v>186,572436097989-107,730190800594i</v>
      </c>
      <c r="AQ113" s="32">
        <f t="shared" si="137"/>
        <v>46.6665899031445</v>
      </c>
      <c r="AR113" s="31">
        <f t="shared" si="138"/>
        <v>-30.0028892189218</v>
      </c>
      <c r="AS113" t="str">
        <f t="shared" si="113"/>
        <v>-0,000100699300699301</v>
      </c>
      <c r="AT113" t="str">
        <f t="shared" si="114"/>
        <v>0,000125829636144585i</v>
      </c>
      <c r="AU113">
        <f t="shared" si="139"/>
        <v>0.000125829636144585</v>
      </c>
      <c r="AV113">
        <f t="shared" si="140"/>
        <v>1.5707963267949</v>
      </c>
      <c r="AW113" t="str">
        <f t="shared" si="115"/>
        <v>1+0,00644224657618459i</v>
      </c>
      <c r="AX113">
        <f t="shared" si="141"/>
        <v>1.00002075105517</v>
      </c>
      <c r="AY113">
        <f t="shared" si="142"/>
        <v>0.00644215745520305</v>
      </c>
      <c r="AZ113" t="str">
        <f t="shared" si="116"/>
        <v>1+0,307994213972059i</v>
      </c>
      <c r="BA113">
        <f t="shared" si="143"/>
        <v>1.04635578836277</v>
      </c>
      <c r="BB113">
        <f t="shared" si="144"/>
        <v>0.298774703643499</v>
      </c>
      <c r="BC113" s="30" t="str">
        <f t="shared" si="145"/>
        <v>-0,241316854715512+0,801837479603517i</v>
      </c>
      <c r="BD113" s="32">
        <f t="shared" si="146"/>
        <v>-1.54172233970254</v>
      </c>
      <c r="BE113" s="31">
        <f t="shared" si="147"/>
        <v>106.749421110903</v>
      </c>
      <c r="BF113" s="30" t="str">
        <f t="shared" si="148"/>
        <v>19,9819799267547+41,8145794217484i</v>
      </c>
      <c r="BG113" s="68">
        <f t="shared" si="149"/>
        <v>33.3198141726305</v>
      </c>
      <c r="BH113" s="31">
        <f t="shared" si="150"/>
        <v>64.4582115585072</v>
      </c>
      <c r="BI113" s="30" t="str">
        <f t="shared" si="103"/>
        <v>41,3590312129767+175,597882726201i</v>
      </c>
      <c r="BJ113" s="68">
        <f t="shared" si="151"/>
        <v>45.1248675634419</v>
      </c>
      <c r="BK113" s="31">
        <f t="shared" si="104"/>
        <v>76.7465318919808</v>
      </c>
      <c r="BL113" s="32">
        <f t="shared" si="152"/>
        <v>33.3198141726305</v>
      </c>
      <c r="BM113" s="31">
        <f t="shared" si="153"/>
        <v>64.4582115585072</v>
      </c>
      <c r="BO113">
        <f t="shared" si="154"/>
        <v>0</v>
      </c>
      <c r="BP113">
        <f t="shared" si="155"/>
        <v>0</v>
      </c>
    </row>
    <row r="114" spans="14:68">
      <c r="N114" s="7">
        <v>96</v>
      </c>
      <c r="O114" s="18">
        <f t="shared" si="117"/>
        <v>91.201083935591</v>
      </c>
      <c r="P114" s="86" t="str">
        <f t="shared" si="105"/>
        <v>75</v>
      </c>
      <c r="Q114" s="4" t="str">
        <f t="shared" si="106"/>
        <v>1+0,935954407285498i</v>
      </c>
      <c r="R114" s="4">
        <f t="shared" si="118"/>
        <v>1.36967538216803</v>
      </c>
      <c r="S114" s="4">
        <f t="shared" si="119"/>
        <v>0.7523280439166</v>
      </c>
      <c r="T114" s="4" t="str">
        <f t="shared" si="107"/>
        <v>1+0,00898516230994079i</v>
      </c>
      <c r="U114" s="4">
        <f t="shared" si="120"/>
        <v>1.00004036575617</v>
      </c>
      <c r="V114" s="4">
        <f t="shared" si="121"/>
        <v>0.00898492052152546</v>
      </c>
      <c r="W114" t="str">
        <f t="shared" si="108"/>
        <v>1-0,00471319897954483i</v>
      </c>
      <c r="X114" s="4">
        <f t="shared" si="122"/>
        <v>1.00001110706063</v>
      </c>
      <c r="Y114" s="4">
        <f t="shared" si="123"/>
        <v>-0.0047131640799583</v>
      </c>
      <c r="Z114" t="str">
        <f t="shared" si="109"/>
        <v>0,999999932100917+0,00147901066917197i</v>
      </c>
      <c r="AA114" s="4">
        <f t="shared" si="124"/>
        <v>1.00000102583667</v>
      </c>
      <c r="AB114" s="4">
        <f t="shared" si="125"/>
        <v>0.00147900969116489</v>
      </c>
      <c r="AC114" s="67" t="str">
        <f t="shared" si="126"/>
        <v>40,0848160782721-37,3080939731879i</v>
      </c>
      <c r="AD114" s="68">
        <f t="shared" si="127"/>
        <v>34.7693104361636</v>
      </c>
      <c r="AE114" s="31">
        <f t="shared" si="128"/>
        <v>-42.9452091237072</v>
      </c>
      <c r="AF114" s="32" t="str">
        <f t="shared" si="129"/>
        <v>249,914648392112</v>
      </c>
      <c r="AG114" s="32" t="str">
        <f t="shared" si="110"/>
        <v>1+0,601684976112106i</v>
      </c>
      <c r="AH114" s="32">
        <f t="shared" si="130"/>
        <v>1.16705818641532</v>
      </c>
      <c r="AI114" s="32">
        <f t="shared" si="131"/>
        <v>0.541657532343053</v>
      </c>
      <c r="AJ114" s="32" t="str">
        <f t="shared" si="111"/>
        <v>1+0,00898516230994079i</v>
      </c>
      <c r="AK114" s="32">
        <f t="shared" si="132"/>
        <v>1.00004036575617</v>
      </c>
      <c r="AL114" s="32">
        <f t="shared" si="133"/>
        <v>0.00898492052152546</v>
      </c>
      <c r="AM114" s="32" t="str">
        <f t="shared" si="112"/>
        <v>1-0,000909275336269717i</v>
      </c>
      <c r="AN114" s="32">
        <f t="shared" si="134"/>
        <v>1.00000041339073</v>
      </c>
      <c r="AO114" s="32">
        <f t="shared" si="135"/>
        <v>-0.000909275085679124</v>
      </c>
      <c r="AP114" s="30" t="str">
        <f t="shared" si="136"/>
        <v>184,380679771095-108,920802450126i</v>
      </c>
      <c r="AQ114" s="32">
        <f t="shared" si="137"/>
        <v>46.6143382575803</v>
      </c>
      <c r="AR114" s="31">
        <f t="shared" si="138"/>
        <v>-30.5719901444098</v>
      </c>
      <c r="AS114" t="str">
        <f t="shared" si="113"/>
        <v>-0,000100699300699301</v>
      </c>
      <c r="AT114" t="str">
        <f t="shared" si="114"/>
        <v>0,000128760584887991i</v>
      </c>
      <c r="AU114">
        <f t="shared" si="139"/>
        <v>0.000128760584887991</v>
      </c>
      <c r="AV114">
        <f t="shared" si="140"/>
        <v>1.5707963267949</v>
      </c>
      <c r="AW114" t="str">
        <f t="shared" si="115"/>
        <v>1+0,00659230577595437i</v>
      </c>
      <c r="AX114">
        <f t="shared" si="141"/>
        <v>1.00002172901165</v>
      </c>
      <c r="AY114">
        <f t="shared" si="142"/>
        <v>0.00659221028121422</v>
      </c>
      <c r="AZ114" t="str">
        <f t="shared" si="116"/>
        <v>1+0,315168320820627i</v>
      </c>
      <c r="BA114">
        <f t="shared" si="143"/>
        <v>1.04848990002236</v>
      </c>
      <c r="BB114">
        <f t="shared" si="144"/>
        <v>0.305313944041599</v>
      </c>
      <c r="BC114" s="30" t="str">
        <f t="shared" si="145"/>
        <v>-0,241316382731237+0,783657026461184i</v>
      </c>
      <c r="BD114" s="32">
        <f t="shared" si="146"/>
        <v>-1.72403343039218</v>
      </c>
      <c r="BE114" s="31">
        <f t="shared" si="147"/>
        <v>107.115494593301</v>
      </c>
      <c r="BF114" s="30" t="str">
        <f t="shared" si="148"/>
        <v>19,5636271675073+40,4158020583489i</v>
      </c>
      <c r="BG114" s="68">
        <f t="shared" si="149"/>
        <v>33.0452770057714</v>
      </c>
      <c r="BH114" s="31">
        <f t="shared" si="150"/>
        <v>64.1702854695935</v>
      </c>
      <c r="BI114" s="30" t="str">
        <f t="shared" ref="BI114:BI177" si="156">IMPRODUCT(AP114,BC114)</f>
        <v>40,8624734799446+170,775589297756i</v>
      </c>
      <c r="BJ114" s="68">
        <f t="shared" si="151"/>
        <v>44.8903048271881</v>
      </c>
      <c r="BK114" s="31">
        <f t="shared" ref="BK114:BK177" si="157">(180/PI())*IMARGUMENT(BI114)</f>
        <v>76.5435044488909</v>
      </c>
      <c r="BL114" s="32">
        <f t="shared" si="152"/>
        <v>33.0452770057714</v>
      </c>
      <c r="BM114" s="31">
        <f t="shared" si="153"/>
        <v>64.1702854695935</v>
      </c>
      <c r="BO114">
        <f t="shared" si="154"/>
        <v>0</v>
      </c>
      <c r="BP114">
        <f t="shared" si="155"/>
        <v>0</v>
      </c>
    </row>
    <row r="115" spans="14:68">
      <c r="N115" s="7">
        <v>97</v>
      </c>
      <c r="O115" s="18">
        <f t="shared" si="117"/>
        <v>93.3254300796992</v>
      </c>
      <c r="P115" s="86" t="str">
        <f t="shared" si="105"/>
        <v>75</v>
      </c>
      <c r="Q115" s="4" t="str">
        <f t="shared" si="106"/>
        <v>1+0,957755586069537i</v>
      </c>
      <c r="R115" s="4">
        <f t="shared" si="118"/>
        <v>1.384664494615</v>
      </c>
      <c r="S115" s="4">
        <f t="shared" si="119"/>
        <v>0.763823529874134</v>
      </c>
      <c r="T115" s="4" t="str">
        <f t="shared" si="107"/>
        <v>1+0,00919445362626756i</v>
      </c>
      <c r="U115" s="4">
        <f t="shared" si="120"/>
        <v>1.00004226809545</v>
      </c>
      <c r="V115" s="4">
        <f t="shared" si="121"/>
        <v>0.00919419454590416</v>
      </c>
      <c r="W115" t="str">
        <f t="shared" si="108"/>
        <v>1-0,00482298348699303i</v>
      </c>
      <c r="X115" s="4">
        <f t="shared" si="122"/>
        <v>1.00001163051722</v>
      </c>
      <c r="Y115" s="4">
        <f t="shared" si="123"/>
        <v>-0.0048229460914358</v>
      </c>
      <c r="Z115" t="str">
        <f t="shared" si="109"/>
        <v>0,999999928900931+0,00151346125327215i</v>
      </c>
      <c r="AA115" s="4">
        <f t="shared" si="124"/>
        <v>1.00000107418284</v>
      </c>
      <c r="AB115" s="4">
        <f t="shared" si="125"/>
        <v>0.00151346020531874</v>
      </c>
      <c r="AC115" s="67" t="str">
        <f t="shared" si="126"/>
        <v>39,2265749068192-37,3551260902823i</v>
      </c>
      <c r="AD115" s="68">
        <f t="shared" si="127"/>
        <v>34.6747929621678</v>
      </c>
      <c r="AE115" s="31">
        <f t="shared" si="128"/>
        <v>-43.6001253491543</v>
      </c>
      <c r="AF115" s="32" t="str">
        <f t="shared" si="129"/>
        <v>249,914648392112</v>
      </c>
      <c r="AG115" s="32" t="str">
        <f t="shared" si="110"/>
        <v>1+0,615700019616131i</v>
      </c>
      <c r="AH115" s="32">
        <f t="shared" si="130"/>
        <v>1.17434514268817</v>
      </c>
      <c r="AI115" s="32">
        <f t="shared" si="131"/>
        <v>0.551883719915429</v>
      </c>
      <c r="AJ115" s="32" t="str">
        <f t="shared" si="111"/>
        <v>1+0,00919445362626756i</v>
      </c>
      <c r="AK115" s="32">
        <f t="shared" si="132"/>
        <v>1.00004226809545</v>
      </c>
      <c r="AL115" s="32">
        <f t="shared" si="133"/>
        <v>0.00919419454590416</v>
      </c>
      <c r="AM115" s="32" t="str">
        <f t="shared" si="112"/>
        <v>1-0,000930455079658528i</v>
      </c>
      <c r="AN115" s="32">
        <f t="shared" si="134"/>
        <v>1.00000043287323</v>
      </c>
      <c r="AO115" s="32">
        <f t="shared" si="135"/>
        <v>-0.000930454811145876</v>
      </c>
      <c r="AP115" s="30" t="str">
        <f t="shared" si="136"/>
        <v>182,141138772456-110,079008424017i</v>
      </c>
      <c r="AQ115" s="32">
        <f t="shared" si="137"/>
        <v>46.5602900206615</v>
      </c>
      <c r="AR115" s="31">
        <f t="shared" si="138"/>
        <v>-31.1471305233379</v>
      </c>
      <c r="AS115" t="str">
        <f t="shared" si="113"/>
        <v>-0,000100699300699301</v>
      </c>
      <c r="AT115" t="str">
        <f t="shared" si="114"/>
        <v>0,000131759804197852i</v>
      </c>
      <c r="AU115">
        <f t="shared" si="139"/>
        <v>0.000131759804197852</v>
      </c>
      <c r="AV115">
        <f t="shared" si="140"/>
        <v>1.5707963267949</v>
      </c>
      <c r="AW115" t="str">
        <f t="shared" si="115"/>
        <v>1+0,00674586030350605i</v>
      </c>
      <c r="AX115">
        <f t="shared" si="141"/>
        <v>1.00002275305677</v>
      </c>
      <c r="AY115">
        <f t="shared" si="142"/>
        <v>0.00674575797917417</v>
      </c>
      <c r="AZ115" t="str">
        <f t="shared" si="116"/>
        <v>1+0,32250953408464i</v>
      </c>
      <c r="BA115">
        <f t="shared" si="143"/>
        <v>1.05071994345567</v>
      </c>
      <c r="BB115">
        <f t="shared" si="144"/>
        <v>0.311977711416962</v>
      </c>
      <c r="BC115" s="30" t="str">
        <f t="shared" si="145"/>
        <v>-0,241315888505007+0,765892078353868i</v>
      </c>
      <c r="BD115" s="32">
        <f t="shared" si="146"/>
        <v>-1.90558783979217</v>
      </c>
      <c r="BE115" s="31">
        <f t="shared" si="147"/>
        <v>107.488502704519</v>
      </c>
      <c r="BF115" s="30" t="str">
        <f t="shared" si="148"/>
        <v>19,1439993818098+39,0577084247805i</v>
      </c>
      <c r="BG115" s="68">
        <f t="shared" si="149"/>
        <v>32.7692051223756</v>
      </c>
      <c r="BH115" s="31">
        <f t="shared" si="150"/>
        <v>63.8883773553646</v>
      </c>
      <c r="BI115" s="30" t="str">
        <f t="shared" si="156"/>
        <v>40,3550898088143+166,064269051768i</v>
      </c>
      <c r="BJ115" s="68">
        <f t="shared" si="151"/>
        <v>44.6547021808693</v>
      </c>
      <c r="BK115" s="31">
        <f t="shared" si="157"/>
        <v>76.3413721811809</v>
      </c>
      <c r="BL115" s="32">
        <f t="shared" si="152"/>
        <v>32.7692051223756</v>
      </c>
      <c r="BM115" s="31">
        <f t="shared" si="153"/>
        <v>63.8883773553646</v>
      </c>
      <c r="BO115">
        <f t="shared" si="154"/>
        <v>0</v>
      </c>
      <c r="BP115">
        <f t="shared" si="155"/>
        <v>0</v>
      </c>
    </row>
    <row r="116" spans="14:68">
      <c r="N116" s="7">
        <v>98</v>
      </c>
      <c r="O116" s="18">
        <f t="shared" si="117"/>
        <v>95.4992586021437</v>
      </c>
      <c r="P116" s="86" t="str">
        <f t="shared" si="105"/>
        <v>75</v>
      </c>
      <c r="Q116" s="4" t="str">
        <f t="shared" si="106"/>
        <v>1+0,980064579542703i</v>
      </c>
      <c r="R116" s="4">
        <f t="shared" si="118"/>
        <v>1.40018805168242</v>
      </c>
      <c r="S116" s="4">
        <f t="shared" si="119"/>
        <v>0.775330437772091</v>
      </c>
      <c r="T116" s="4" t="str">
        <f t="shared" si="107"/>
        <v>1+0,00940861996360996i</v>
      </c>
      <c r="U116" s="4">
        <f t="shared" si="120"/>
        <v>1.00004426008533</v>
      </c>
      <c r="V116" s="4">
        <f t="shared" si="121"/>
        <v>0.00940834235466254</v>
      </c>
      <c r="W116" t="str">
        <f t="shared" si="108"/>
        <v>1-0,00493532520412576i</v>
      </c>
      <c r="X116" s="4">
        <f t="shared" si="122"/>
        <v>1.00001217864328</v>
      </c>
      <c r="Y116" s="4">
        <f t="shared" si="123"/>
        <v>-0.00493528513409062</v>
      </c>
      <c r="Z116" t="str">
        <f t="shared" si="109"/>
        <v>0,999999925550136+0,00154871429456184i</v>
      </c>
      <c r="AA116" s="4">
        <f t="shared" si="124"/>
        <v>1.00000112480749</v>
      </c>
      <c r="AB116" s="4">
        <f t="shared" si="125"/>
        <v>0.0015487131716596</v>
      </c>
      <c r="AC116" s="67" t="str">
        <f t="shared" si="126"/>
        <v>38,3666274509877-37,3824349783023i</v>
      </c>
      <c r="AD116" s="68">
        <f t="shared" si="127"/>
        <v>34.5779783625457</v>
      </c>
      <c r="AE116" s="31">
        <f t="shared" si="128"/>
        <v>-44.2556092405244</v>
      </c>
      <c r="AF116" s="32" t="str">
        <f t="shared" si="129"/>
        <v>249,914648392112</v>
      </c>
      <c r="AG116" s="32" t="str">
        <f t="shared" si="110"/>
        <v>1+0,630041515420309i</v>
      </c>
      <c r="AH116" s="32">
        <f t="shared" si="130"/>
        <v>1.18192737135288</v>
      </c>
      <c r="AI116" s="32">
        <f t="shared" si="131"/>
        <v>0.562216463023088</v>
      </c>
      <c r="AJ116" s="32" t="str">
        <f t="shared" si="111"/>
        <v>1+0,00940861996360996i</v>
      </c>
      <c r="AK116" s="32">
        <f t="shared" si="132"/>
        <v>1.00004426008533</v>
      </c>
      <c r="AL116" s="32">
        <f t="shared" si="133"/>
        <v>0.00940834235466254</v>
      </c>
      <c r="AM116" s="32" t="str">
        <f t="shared" si="112"/>
        <v>1-0,000952128162646602i</v>
      </c>
      <c r="AN116" s="32">
        <f t="shared" si="134"/>
        <v>1.00000045327392</v>
      </c>
      <c r="AO116" s="32">
        <f t="shared" si="135"/>
        <v>-0.000952127874930119</v>
      </c>
      <c r="AP116" s="30" t="str">
        <f t="shared" si="136"/>
        <v>179,85468484043-111,202517017238i</v>
      </c>
      <c r="AQ116" s="32">
        <f t="shared" si="137"/>
        <v>46.504406810139</v>
      </c>
      <c r="AR116" s="31">
        <f t="shared" si="138"/>
        <v>-31.7281251036498</v>
      </c>
      <c r="AS116" t="str">
        <f t="shared" si="113"/>
        <v>-0,000100699300699301</v>
      </c>
      <c r="AT116" t="str">
        <f t="shared" si="114"/>
        <v>0,000134828884299946i</v>
      </c>
      <c r="AU116">
        <f t="shared" si="139"/>
        <v>0.000134828884299946</v>
      </c>
      <c r="AV116">
        <f t="shared" si="140"/>
        <v>1.5707963267949</v>
      </c>
      <c r="AW116" t="str">
        <f t="shared" si="115"/>
        <v>1+0,00690299157548266i</v>
      </c>
      <c r="AX116">
        <f t="shared" si="141"/>
        <v>1.00002382536252</v>
      </c>
      <c r="AY116">
        <f t="shared" si="142"/>
        <v>0.00690288193312673</v>
      </c>
      <c r="AZ116" t="str">
        <f t="shared" si="116"/>
        <v>1+0,330021746172543i</v>
      </c>
      <c r="BA116">
        <f t="shared" si="143"/>
        <v>1.0530500239527</v>
      </c>
      <c r="BB116">
        <f t="shared" si="144"/>
        <v>0.318767170874077</v>
      </c>
      <c r="BC116" s="30" t="str">
        <f t="shared" si="145"/>
        <v>-0,241315370988783+0,748533216049953i</v>
      </c>
      <c r="BD116" s="32">
        <f t="shared" si="146"/>
        <v>-2.08635661805236</v>
      </c>
      <c r="BE116" s="31">
        <f t="shared" si="147"/>
        <v>107.868507537165</v>
      </c>
      <c r="BF116" s="30" t="str">
        <f t="shared" si="148"/>
        <v>18,7235373411634+37,7396512001313i</v>
      </c>
      <c r="BG116" s="68">
        <f t="shared" si="149"/>
        <v>32.4916217444933</v>
      </c>
      <c r="BH116" s="31">
        <f t="shared" si="150"/>
        <v>63.6128982966404</v>
      </c>
      <c r="BI116" s="30" t="str">
        <f t="shared" si="156"/>
        <v>39,8370776994238+161,462082314159i</v>
      </c>
      <c r="BJ116" s="68">
        <f t="shared" si="151"/>
        <v>44.4180501920866</v>
      </c>
      <c r="BK116" s="31">
        <f t="shared" si="157"/>
        <v>76.1403824335151</v>
      </c>
      <c r="BL116" s="32">
        <f t="shared" si="152"/>
        <v>32.4916217444933</v>
      </c>
      <c r="BM116" s="31">
        <f t="shared" si="153"/>
        <v>63.6128982966404</v>
      </c>
      <c r="BO116">
        <f t="shared" si="154"/>
        <v>0</v>
      </c>
      <c r="BP116">
        <f t="shared" si="155"/>
        <v>0</v>
      </c>
    </row>
    <row r="117" spans="14:68">
      <c r="N117" s="7">
        <v>99</v>
      </c>
      <c r="O117" s="18">
        <f t="shared" si="117"/>
        <v>97.7237220955811</v>
      </c>
      <c r="P117" s="86" t="str">
        <f t="shared" si="105"/>
        <v>75</v>
      </c>
      <c r="Q117" s="4" t="str">
        <f t="shared" si="106"/>
        <v>1+1,00289321622863i</v>
      </c>
      <c r="R117" s="4">
        <f t="shared" si="118"/>
        <v>1.41626085279422</v>
      </c>
      <c r="S117" s="4">
        <f t="shared" si="119"/>
        <v>0.786842680854909</v>
      </c>
      <c r="T117" s="4" t="str">
        <f t="shared" si="107"/>
        <v>1+0,00962777487579487i</v>
      </c>
      <c r="U117" s="4">
        <f t="shared" si="120"/>
        <v>1.00004634595056</v>
      </c>
      <c r="V117" s="4">
        <f t="shared" si="121"/>
        <v>0.00962747741319295</v>
      </c>
      <c r="W117" t="str">
        <f t="shared" si="108"/>
        <v>1-0,00505028369600847i</v>
      </c>
      <c r="X117" s="4">
        <f t="shared" si="122"/>
        <v>1.00001275260139</v>
      </c>
      <c r="Y117" s="4">
        <f t="shared" si="123"/>
        <v>-0.00505024076022183</v>
      </c>
      <c r="Z117" t="str">
        <f t="shared" si="109"/>
        <v>0,999999922041422+0,00158478848467016i</v>
      </c>
      <c r="AA117" s="4">
        <f t="shared" si="124"/>
        <v>1.000001177818</v>
      </c>
      <c r="AB117" s="4">
        <f t="shared" si="125"/>
        <v>0.00158478728145881</v>
      </c>
      <c r="AC117" s="67" t="str">
        <f t="shared" si="126"/>
        <v>37,5058824026417-37,3899486629098i</v>
      </c>
      <c r="AD117" s="68">
        <f t="shared" si="127"/>
        <v>34.4788633333299</v>
      </c>
      <c r="AE117" s="31">
        <f t="shared" si="128"/>
        <v>-44.9113100343512</v>
      </c>
      <c r="AF117" s="32" t="str">
        <f t="shared" si="129"/>
        <v>249,914648392112</v>
      </c>
      <c r="AG117" s="32" t="str">
        <f t="shared" si="110"/>
        <v>1+0,644717067575548i</v>
      </c>
      <c r="AH117" s="32">
        <f t="shared" si="130"/>
        <v>1.18981515254396</v>
      </c>
      <c r="AI117" s="32">
        <f t="shared" si="131"/>
        <v>0.572652414415236</v>
      </c>
      <c r="AJ117" s="32" t="str">
        <f t="shared" si="111"/>
        <v>1+0,00962777487579487i</v>
      </c>
      <c r="AK117" s="32">
        <f t="shared" si="132"/>
        <v>1.00004634595056</v>
      </c>
      <c r="AL117" s="32">
        <f t="shared" si="133"/>
        <v>0.00962747741319295</v>
      </c>
      <c r="AM117" s="32" t="str">
        <f t="shared" si="112"/>
        <v>1-0,000974306076589417i</v>
      </c>
      <c r="AN117" s="32">
        <f t="shared" si="134"/>
        <v>1.00000047463605</v>
      </c>
      <c r="AO117" s="32">
        <f t="shared" si="135"/>
        <v>-0.000974305768295659</v>
      </c>
      <c r="AP117" s="30" t="str">
        <f t="shared" si="136"/>
        <v>177,522328107931-112,289046194604i</v>
      </c>
      <c r="AQ117" s="32">
        <f t="shared" si="137"/>
        <v>46.4466510085536</v>
      </c>
      <c r="AR117" s="31">
        <f t="shared" si="138"/>
        <v>-32.3147762593147</v>
      </c>
      <c r="AS117" t="str">
        <f t="shared" si="113"/>
        <v>-0,000100699300699301</v>
      </c>
      <c r="AT117" t="str">
        <f t="shared" si="114"/>
        <v>0,000137969452461168i</v>
      </c>
      <c r="AU117">
        <f t="shared" si="139"/>
        <v>0.000137969452461168</v>
      </c>
      <c r="AV117">
        <f t="shared" si="140"/>
        <v>1.5707963267949</v>
      </c>
      <c r="AW117" t="str">
        <f t="shared" si="115"/>
        <v>1+0,00706378290496448i</v>
      </c>
      <c r="AX117">
        <f t="shared" si="141"/>
        <v>1.00002494820326</v>
      </c>
      <c r="AY117">
        <f t="shared" si="142"/>
        <v>0.00706366542122173</v>
      </c>
      <c r="AZ117" t="str">
        <f t="shared" si="116"/>
        <v>1+0,33770894015862i</v>
      </c>
      <c r="BA117">
        <f t="shared" si="143"/>
        <v>1.05548440455701</v>
      </c>
      <c r="BB117">
        <f t="shared" si="144"/>
        <v>0.325683417636613</v>
      </c>
      <c r="BC117" s="30" t="str">
        <f t="shared" si="145"/>
        <v>-0,241314829085147+0,731571235628395i</v>
      </c>
      <c r="BD117" s="32">
        <f t="shared" si="146"/>
        <v>-2.26631000321487</v>
      </c>
      <c r="BE117" s="31">
        <f t="shared" si="147"/>
        <v>108.255567071446</v>
      </c>
      <c r="BF117" s="30" t="str">
        <f t="shared" si="148"/>
        <v>18,3026853417261+36,4609738037264i</v>
      </c>
      <c r="BG117" s="68">
        <f t="shared" si="149"/>
        <v>32.212553330115</v>
      </c>
      <c r="BH117" s="31">
        <f t="shared" si="150"/>
        <v>63.3442570370948</v>
      </c>
      <c r="BI117" s="30" t="str">
        <f t="shared" si="156"/>
        <v>39,3086660059576+156,967240916133i</v>
      </c>
      <c r="BJ117" s="68">
        <f t="shared" si="151"/>
        <v>44.1803410053387</v>
      </c>
      <c r="BK117" s="31">
        <f t="shared" si="157"/>
        <v>75.9407908121312</v>
      </c>
      <c r="BL117" s="32">
        <f t="shared" si="152"/>
        <v>32.212553330115</v>
      </c>
      <c r="BM117" s="31">
        <f t="shared" si="153"/>
        <v>63.3442570370948</v>
      </c>
      <c r="BO117">
        <f t="shared" si="154"/>
        <v>0</v>
      </c>
      <c r="BP117">
        <f t="shared" si="155"/>
        <v>0</v>
      </c>
    </row>
    <row r="118" spans="14:68">
      <c r="N118" s="7">
        <v>100</v>
      </c>
      <c r="O118" s="18">
        <f t="shared" si="117"/>
        <v>100</v>
      </c>
      <c r="P118" s="86" t="str">
        <f t="shared" si="105"/>
        <v>75</v>
      </c>
      <c r="Q118" s="4" t="str">
        <f t="shared" si="106"/>
        <v>1+1,02625360017267i</v>
      </c>
      <c r="R118" s="4">
        <f t="shared" si="118"/>
        <v>1.43289792095158</v>
      </c>
      <c r="S118" s="4">
        <f t="shared" si="119"/>
        <v>0.798354158242706</v>
      </c>
      <c r="T118" s="4" t="str">
        <f t="shared" si="107"/>
        <v>1+0,0098520345616576i</v>
      </c>
      <c r="U118" s="4">
        <f t="shared" si="120"/>
        <v>1.00004853011492</v>
      </c>
      <c r="V118" s="4">
        <f t="shared" si="121"/>
        <v>0.00985171582557244</v>
      </c>
      <c r="W118" t="str">
        <f t="shared" si="108"/>
        <v>1-0,00516791991515521i</v>
      </c>
      <c r="X118" s="4">
        <f t="shared" si="122"/>
        <v>1.00001335360897</v>
      </c>
      <c r="Y118" s="4">
        <f t="shared" si="123"/>
        <v>-0.00516787390866412</v>
      </c>
      <c r="Z118" t="str">
        <f t="shared" si="109"/>
        <v>0,999999918367347+0,00162170295061021i</v>
      </c>
      <c r="AA118" s="4">
        <f t="shared" si="124"/>
        <v>1.00000123332682</v>
      </c>
      <c r="AB118" s="4">
        <f t="shared" si="125"/>
        <v>0.00162170166134611</v>
      </c>
      <c r="AC118" s="67" t="str">
        <f t="shared" si="126"/>
        <v>36,6452518306333-37,3776475310525i</v>
      </c>
      <c r="AD118" s="68">
        <f t="shared" si="127"/>
        <v>34.3774470086508</v>
      </c>
      <c r="AE118" s="31">
        <f t="shared" si="128"/>
        <v>-45.5668761111057</v>
      </c>
      <c r="AF118" s="32" t="str">
        <f t="shared" si="129"/>
        <v>249,914648392112</v>
      </c>
      <c r="AG118" s="32" t="str">
        <f t="shared" si="110"/>
        <v>1+0,659734457253857i</v>
      </c>
      <c r="AH118" s="32">
        <f t="shared" si="130"/>
        <v>1.19801901240675</v>
      </c>
      <c r="AI118" s="32">
        <f t="shared" si="131"/>
        <v>0.583188014541529</v>
      </c>
      <c r="AJ118" s="32" t="str">
        <f t="shared" si="111"/>
        <v>1+0,0098520345616576i</v>
      </c>
      <c r="AK118" s="32">
        <f t="shared" si="132"/>
        <v>1.00004853011492</v>
      </c>
      <c r="AL118" s="32">
        <f t="shared" si="133"/>
        <v>0.00985171582557244</v>
      </c>
      <c r="AM118" s="32" t="str">
        <f t="shared" si="112"/>
        <v>1-0,000997000580510506i</v>
      </c>
      <c r="AN118" s="32">
        <f t="shared" si="134"/>
        <v>1.00000049700496</v>
      </c>
      <c r="AO118" s="32">
        <f t="shared" si="135"/>
        <v>-0.000997000250167802</v>
      </c>
      <c r="AP118" s="30" t="str">
        <f t="shared" si="136"/>
        <v>175,145218890017-113,336333221115i</v>
      </c>
      <c r="AQ118" s="32">
        <f t="shared" si="137"/>
        <v>46.3869858763516</v>
      </c>
      <c r="AR118" s="31">
        <f t="shared" si="138"/>
        <v>-32.9068740645843</v>
      </c>
      <c r="AS118" t="str">
        <f t="shared" si="113"/>
        <v>-0,000100699300699301</v>
      </c>
      <c r="AT118" t="str">
        <f t="shared" si="114"/>
        <v>0,000141183173852325i</v>
      </c>
      <c r="AU118">
        <f t="shared" si="139"/>
        <v>0.000141183173852325</v>
      </c>
      <c r="AV118">
        <f t="shared" si="140"/>
        <v>1.5707963267949</v>
      </c>
      <c r="AW118" t="str">
        <f t="shared" si="115"/>
        <v>1+0,00722831954564274i</v>
      </c>
      <c r="AX118">
        <f t="shared" si="141"/>
        <v>1.0000261239605</v>
      </c>
      <c r="AY118">
        <f t="shared" si="142"/>
        <v>0.00722819365972194</v>
      </c>
      <c r="AZ118" t="str">
        <f t="shared" si="116"/>
        <v>1+0,345575191894877i</v>
      </c>
      <c r="BA118">
        <f t="shared" si="143"/>
        <v>1.05802751063154</v>
      </c>
      <c r="BB118">
        <f t="shared" si="144"/>
        <v>0.332727471223119</v>
      </c>
      <c r="BC118" s="30" t="str">
        <f t="shared" si="145"/>
        <v>-0,241314261644993+0,714997143598583i</v>
      </c>
      <c r="BD118" s="32">
        <f t="shared" si="146"/>
        <v>-2.44541742403318</v>
      </c>
      <c r="BE118" s="31">
        <f t="shared" si="147"/>
        <v>108.64973483894</v>
      </c>
      <c r="BF118" s="30" t="str">
        <f t="shared" si="148"/>
        <v>17,8818893308331+35,2210098013363i</v>
      </c>
      <c r="BG118" s="68">
        <f t="shared" si="149"/>
        <v>31.9320295846177</v>
      </c>
      <c r="BH118" s="31">
        <f t="shared" si="150"/>
        <v>63.0828587278342</v>
      </c>
      <c r="BI118" s="30" t="str">
        <f t="shared" si="156"/>
        <v>38,7701153419393+152,578004790115i</v>
      </c>
      <c r="BJ118" s="68">
        <f t="shared" si="151"/>
        <v>43.9415684523184</v>
      </c>
      <c r="BK118" s="31">
        <f t="shared" si="157"/>
        <v>75.7428607743557</v>
      </c>
      <c r="BL118" s="32">
        <f t="shared" si="152"/>
        <v>31.9320295846177</v>
      </c>
      <c r="BM118" s="31">
        <f t="shared" si="153"/>
        <v>63.0828587278342</v>
      </c>
      <c r="BO118">
        <f t="shared" si="154"/>
        <v>0</v>
      </c>
      <c r="BP118">
        <f t="shared" si="155"/>
        <v>0</v>
      </c>
    </row>
    <row r="119" spans="14:68">
      <c r="N119" s="7">
        <v>1</v>
      </c>
      <c r="O119" s="18">
        <f>10^(2+(N119/100))</f>
        <v>102.329299228075</v>
      </c>
      <c r="P119" s="86" t="str">
        <f t="shared" si="105"/>
        <v>75</v>
      </c>
      <c r="Q119" s="4" t="str">
        <f t="shared" si="106"/>
        <v>1+1,05015811735958i</v>
      </c>
      <c r="R119" s="4">
        <f t="shared" si="118"/>
        <v>1.45011450287769</v>
      </c>
      <c r="S119" s="4">
        <f t="shared" si="119"/>
        <v>0.809858771083642</v>
      </c>
      <c r="T119" s="4" t="str">
        <f t="shared" si="107"/>
        <v>1+0,010081517926652i</v>
      </c>
      <c r="U119" s="4">
        <f t="shared" si="120"/>
        <v>1.00005081721066</v>
      </c>
      <c r="V119" s="4">
        <f t="shared" si="121"/>
        <v>0.0100811763957208</v>
      </c>
      <c r="W119" t="str">
        <f t="shared" si="108"/>
        <v>1-0,00528829623384645i</v>
      </c>
      <c r="X119" s="4">
        <f t="shared" si="122"/>
        <v>1.00001398294077</v>
      </c>
      <c r="Y119" s="4">
        <f t="shared" si="123"/>
        <v>-0.0052882469370403</v>
      </c>
      <c r="Z119" t="str">
        <f t="shared" si="109"/>
        <v>0,999999914520118+0,00165947726492044i</v>
      </c>
      <c r="AA119" s="4">
        <f t="shared" si="124"/>
        <v>1.00000129145168</v>
      </c>
      <c r="AB119" s="4">
        <f t="shared" si="125"/>
        <v>0.00165947588344916</v>
      </c>
      <c r="AC119" s="67" t="str">
        <f t="shared" si="126"/>
        <v>35,7856473187409-37,3455644579338i</v>
      </c>
      <c r="AD119" s="68">
        <f t="shared" si="127"/>
        <v>34.2737309647093</v>
      </c>
      <c r="AE119" s="31">
        <f t="shared" si="128"/>
        <v>-46.2219559195833</v>
      </c>
      <c r="AF119" s="32" t="str">
        <f t="shared" si="129"/>
        <v>249,914648392112</v>
      </c>
      <c r="AG119" s="32" t="str">
        <f t="shared" si="110"/>
        <v>1+0,675101646874015i</v>
      </c>
      <c r="AH119" s="32">
        <f t="shared" si="130"/>
        <v>1.20654972280963</v>
      </c>
      <c r="AI119" s="32">
        <f t="shared" si="131"/>
        <v>0.593819493817957</v>
      </c>
      <c r="AJ119" s="32" t="str">
        <f t="shared" si="111"/>
        <v>1+0,010081517926652i</v>
      </c>
      <c r="AK119" s="32">
        <f t="shared" si="132"/>
        <v>1.00005081721066</v>
      </c>
      <c r="AL119" s="32">
        <f t="shared" si="133"/>
        <v>0.0100811763957208</v>
      </c>
      <c r="AM119" s="32" t="str">
        <f t="shared" si="112"/>
        <v>1-0,00102022370733624i</v>
      </c>
      <c r="AN119" s="32">
        <f t="shared" si="134"/>
        <v>1.00000052042807</v>
      </c>
      <c r="AO119" s="32">
        <f t="shared" si="135"/>
        <v>-0.00102022335336766</v>
      </c>
      <c r="AP119" s="30" t="str">
        <f t="shared" si="136"/>
        <v>172,724648710583-114,342144641453i</v>
      </c>
      <c r="AQ119" s="32">
        <f t="shared" si="137"/>
        <v>46.3253756661501</v>
      </c>
      <c r="AR119" s="31">
        <f t="shared" si="138"/>
        <v>-33.5041964206709</v>
      </c>
      <c r="AS119" t="str">
        <f t="shared" si="113"/>
        <v>-0,000100699300699301</v>
      </c>
      <c r="AT119" t="str">
        <f t="shared" si="114"/>
        <v>0,000144471752431039i</v>
      </c>
      <c r="AU119">
        <f t="shared" si="139"/>
        <v>0.000144471752431039</v>
      </c>
      <c r="AV119">
        <f t="shared" si="140"/>
        <v>1.5707963267949</v>
      </c>
      <c r="AW119" t="str">
        <f t="shared" si="115"/>
        <v>1+0,00739668873702219i</v>
      </c>
      <c r="AX119">
        <f t="shared" si="141"/>
        <v>1.00002735512798</v>
      </c>
      <c r="AY119">
        <f t="shared" si="142"/>
        <v>0.00739655384802708</v>
      </c>
      <c r="AZ119" t="str">
        <f t="shared" si="116"/>
        <v>1+0,353624672172103i</v>
      </c>
      <c r="BA119">
        <f t="shared" si="143"/>
        <v>1.06068393443515</v>
      </c>
      <c r="BB119">
        <f t="shared" si="144"/>
        <v>0.339900269438073</v>
      </c>
      <c r="BC119" s="30" t="str">
        <f t="shared" si="145"/>
        <v>-0,241313667465065+0,698802152131721i</v>
      </c>
      <c r="BD119" s="32">
        <f t="shared" si="146"/>
        <v>-2.62364750542075</v>
      </c>
      <c r="BE119" s="31">
        <f t="shared" si="147"/>
        <v>109.051059575728</v>
      </c>
      <c r="BF119" s="30" t="str">
        <f t="shared" si="148"/>
        <v>17,4615950186813+34,0190824846599i</v>
      </c>
      <c r="BG119" s="68">
        <f t="shared" si="149"/>
        <v>31.6500834592885</v>
      </c>
      <c r="BH119" s="31">
        <f t="shared" si="150"/>
        <v>62.8291036561447</v>
      </c>
      <c r="BI119" s="30" t="str">
        <f t="shared" si="156"/>
        <v>38,2217183128381+148,292678514401i</v>
      </c>
      <c r="BJ119" s="68">
        <f t="shared" si="151"/>
        <v>43.7017281607293</v>
      </c>
      <c r="BK119" s="31">
        <f t="shared" si="157"/>
        <v>75.5468631550571</v>
      </c>
      <c r="BL119" s="32">
        <f t="shared" si="152"/>
        <v>31.6500834592885</v>
      </c>
      <c r="BM119" s="31">
        <f t="shared" si="153"/>
        <v>62.8291036561447</v>
      </c>
      <c r="BO119">
        <f t="shared" si="154"/>
        <v>0</v>
      </c>
      <c r="BP119">
        <f t="shared" si="155"/>
        <v>0</v>
      </c>
    </row>
    <row r="120" spans="14:68">
      <c r="N120" s="7">
        <v>2</v>
      </c>
      <c r="O120" s="18">
        <f t="shared" ref="O120:O183" si="158">10^(2+(N120/100))</f>
        <v>104.71285480509</v>
      </c>
      <c r="P120" s="86" t="str">
        <f t="shared" si="105"/>
        <v>75</v>
      </c>
      <c r="Q120" s="4" t="str">
        <f t="shared" si="106"/>
        <v>1+1,07461944228081i</v>
      </c>
      <c r="R120" s="4">
        <f t="shared" si="118"/>
        <v>1.4679260695716</v>
      </c>
      <c r="S120" s="4">
        <f t="shared" si="119"/>
        <v>0.821350438693256</v>
      </c>
      <c r="T120" s="4" t="str">
        <f t="shared" si="107"/>
        <v>1+0,0103163466458958i</v>
      </c>
      <c r="U120" s="4">
        <f t="shared" si="120"/>
        <v>1.0000532120883</v>
      </c>
      <c r="V120" s="4">
        <f t="shared" si="121"/>
        <v>0.0103159806899613</v>
      </c>
      <c r="W120" t="str">
        <f t="shared" si="108"/>
        <v>1-0,00541147647719981i</v>
      </c>
      <c r="X120" s="4">
        <f t="shared" si="122"/>
        <v>1.00001464193164</v>
      </c>
      <c r="Y120" s="4">
        <f t="shared" si="123"/>
        <v>-0.00541142365476211</v>
      </c>
      <c r="Z120" t="str">
        <f t="shared" si="109"/>
        <v>0,999999910491576+0,00169813145604233i</v>
      </c>
      <c r="AA120" s="4">
        <f t="shared" si="124"/>
        <v>1.00000135231589</v>
      </c>
      <c r="AB120" s="4">
        <f t="shared" si="125"/>
        <v>0.00169812997576929</v>
      </c>
      <c r="AC120" s="67" t="str">
        <f t="shared" si="126"/>
        <v>34,9279761079621-37,2937845951481i</v>
      </c>
      <c r="AD120" s="68">
        <f t="shared" si="127"/>
        <v>34.167719213421</v>
      </c>
      <c r="AE120" s="31">
        <f t="shared" si="128"/>
        <v>-46.8761989005204</v>
      </c>
      <c r="AF120" s="32" t="str">
        <f t="shared" si="129"/>
        <v>249,914648392112</v>
      </c>
      <c r="AG120" s="32" t="str">
        <f t="shared" si="110"/>
        <v>1+0,690826784323379i</v>
      </c>
      <c r="AH120" s="32">
        <f t="shared" si="130"/>
        <v>1.21541830080782</v>
      </c>
      <c r="AI120" s="32">
        <f t="shared" si="131"/>
        <v>0.604542875838491</v>
      </c>
      <c r="AJ120" s="32" t="str">
        <f t="shared" si="111"/>
        <v>1+0,0103163466458958i</v>
      </c>
      <c r="AK120" s="32">
        <f t="shared" si="132"/>
        <v>1.0000532120883</v>
      </c>
      <c r="AL120" s="32">
        <f t="shared" si="133"/>
        <v>0.0103159806899613</v>
      </c>
      <c r="AM120" s="32" t="str">
        <f t="shared" si="112"/>
        <v>1-0,00104398777027587i</v>
      </c>
      <c r="AN120" s="32">
        <f t="shared" si="134"/>
        <v>1.00000054495508</v>
      </c>
      <c r="AO120" s="32">
        <f t="shared" si="135"/>
        <v>-0.00104398739099172</v>
      </c>
      <c r="AP120" s="30" t="str">
        <f t="shared" si="136"/>
        <v>170,26205051682-115,304286542673i</v>
      </c>
      <c r="AQ120" s="32">
        <f t="shared" si="137"/>
        <v>46.2617857375115</v>
      </c>
      <c r="AR120" s="31">
        <f t="shared" si="138"/>
        <v>-34.1065092365423</v>
      </c>
      <c r="AS120" t="str">
        <f t="shared" si="113"/>
        <v>-0,000100699300699301</v>
      </c>
      <c r="AT120" t="str">
        <f t="shared" si="114"/>
        <v>0,000147836931845203i</v>
      </c>
      <c r="AU120">
        <f t="shared" si="139"/>
        <v>0.000147836931845203</v>
      </c>
      <c r="AV120">
        <f t="shared" si="140"/>
        <v>1.5707963267949</v>
      </c>
      <c r="AW120" t="str">
        <f t="shared" si="115"/>
        <v>1+0,00756897975067682i</v>
      </c>
      <c r="AX120">
        <f t="shared" si="141"/>
        <v>1.00002864431698</v>
      </c>
      <c r="AY120">
        <f t="shared" si="142"/>
        <v>0.00756883521473809</v>
      </c>
      <c r="AZ120" t="str">
        <f t="shared" si="116"/>
        <v>1+0,361861648931294i</v>
      </c>
      <c r="BA120">
        <f t="shared" si="143"/>
        <v>1.06345843969911</v>
      </c>
      <c r="BB120">
        <f t="shared" si="144"/>
        <v>0.347202662189574</v>
      </c>
      <c r="BC120" s="30" t="str">
        <f t="shared" si="145"/>
        <v>-0,241313045285437+0,682977674401311i</v>
      </c>
      <c r="BD120" s="32">
        <f t="shared" si="146"/>
        <v>-2.8009680767316</v>
      </c>
      <c r="BE120" s="31">
        <f t="shared" si="147"/>
        <v>109.459584865535</v>
      </c>
      <c r="BF120" s="30" t="str">
        <f t="shared" si="148"/>
        <v>17,0422459921484+32,8545046246348i</v>
      </c>
      <c r="BG120" s="68">
        <f t="shared" si="149"/>
        <v>31.3667511366894</v>
      </c>
      <c r="BH120" s="31">
        <f t="shared" si="150"/>
        <v>62.5833859650141</v>
      </c>
      <c r="BI120" s="30" t="str">
        <f t="shared" si="156"/>
        <v>37,6637995646604+144,109607820853i</v>
      </c>
      <c r="BJ120" s="68">
        <f t="shared" si="151"/>
        <v>43.4608176607798</v>
      </c>
      <c r="BK120" s="31">
        <f t="shared" si="157"/>
        <v>75.3530756289923</v>
      </c>
      <c r="BL120" s="32">
        <f t="shared" si="152"/>
        <v>31.3667511366894</v>
      </c>
      <c r="BM120" s="31">
        <f t="shared" si="153"/>
        <v>62.5833859650141</v>
      </c>
      <c r="BO120">
        <f t="shared" si="154"/>
        <v>0</v>
      </c>
      <c r="BP120">
        <f t="shared" si="155"/>
        <v>0</v>
      </c>
    </row>
    <row r="121" spans="14:68">
      <c r="N121" s="7">
        <v>3</v>
      </c>
      <c r="O121" s="18">
        <f t="shared" si="158"/>
        <v>107.151930523761</v>
      </c>
      <c r="P121" s="86" t="str">
        <f t="shared" si="105"/>
        <v>75</v>
      </c>
      <c r="Q121" s="4" t="str">
        <f t="shared" si="106"/>
        <v>1+1,09965054465461i</v>
      </c>
      <c r="R121" s="4">
        <f t="shared" si="118"/>
        <v>1.48634831730627</v>
      </c>
      <c r="S121" s="4">
        <f t="shared" si="119"/>
        <v>0.832823114576567</v>
      </c>
      <c r="T121" s="4" t="str">
        <f t="shared" si="107"/>
        <v>1+0,0105566452286843i</v>
      </c>
      <c r="U121" s="4">
        <f t="shared" si="120"/>
        <v>1.00005571982689</v>
      </c>
      <c r="V121" s="4">
        <f t="shared" si="121"/>
        <v>0.0105562531010156</v>
      </c>
      <c r="W121" t="str">
        <f t="shared" si="108"/>
        <v>1-0,00553752595701072i</v>
      </c>
      <c r="X121" s="4">
        <f t="shared" si="122"/>
        <v>1.00001533197933</v>
      </c>
      <c r="Y121" s="4">
        <f t="shared" si="123"/>
        <v>-0.00553746935679584</v>
      </c>
      <c r="Z121" t="str">
        <f t="shared" si="109"/>
        <v>0,999999906273174+0,00173768601893963i</v>
      </c>
      <c r="AA121" s="4">
        <f t="shared" si="124"/>
        <v>1.00000141604853</v>
      </c>
      <c r="AB121" s="4">
        <f t="shared" si="125"/>
        <v>0.00173768443279861</v>
      </c>
      <c r="AC121" s="67" t="str">
        <f t="shared" si="126"/>
        <v>34,0731372778115-37,2224448225248i</v>
      </c>
      <c r="AD121" s="68">
        <f t="shared" si="127"/>
        <v>34.0594181857929</v>
      </c>
      <c r="AE121" s="31">
        <f t="shared" si="128"/>
        <v>-47.5292564034696</v>
      </c>
      <c r="AF121" s="32" t="str">
        <f t="shared" si="129"/>
        <v>249,914648392112</v>
      </c>
      <c r="AG121" s="32" t="str">
        <f t="shared" si="110"/>
        <v>1+0,706918207277964i</v>
      </c>
      <c r="AH121" s="32">
        <f t="shared" si="130"/>
        <v>1.22463600787381</v>
      </c>
      <c r="AI121" s="32">
        <f t="shared" si="131"/>
        <v>0.615353981555533</v>
      </c>
      <c r="AJ121" s="32" t="str">
        <f t="shared" si="111"/>
        <v>1+0,0105566452286843i</v>
      </c>
      <c r="AK121" s="32">
        <f t="shared" si="132"/>
        <v>1.00005571982689</v>
      </c>
      <c r="AL121" s="32">
        <f t="shared" si="133"/>
        <v>0.0105562531010156</v>
      </c>
      <c r="AM121" s="32" t="str">
        <f t="shared" si="112"/>
        <v>1-0,00106830536935011i</v>
      </c>
      <c r="AN121" s="32">
        <f t="shared" si="134"/>
        <v>1.00000057063802</v>
      </c>
      <c r="AO121" s="32">
        <f t="shared" si="135"/>
        <v>-0.00106830496293983</v>
      </c>
      <c r="AP121" s="30" t="str">
        <f t="shared" si="136"/>
        <v>167,758998036266-116,220615026774i</v>
      </c>
      <c r="AQ121" s="32">
        <f t="shared" si="137"/>
        <v>46.1961826715526</v>
      </c>
      <c r="AR121" s="31">
        <f t="shared" si="138"/>
        <v>-34.7135666651523</v>
      </c>
      <c r="AS121" t="str">
        <f t="shared" si="113"/>
        <v>-0,000100699300699301</v>
      </c>
      <c r="AT121" t="str">
        <f t="shared" si="114"/>
        <v>0,000151280496357484i</v>
      </c>
      <c r="AU121">
        <f t="shared" si="139"/>
        <v>0.000151280496357484</v>
      </c>
      <c r="AV121">
        <f t="shared" si="140"/>
        <v>1.5707963267949</v>
      </c>
      <c r="AW121" t="str">
        <f t="shared" si="115"/>
        <v>1+0,00774528393758255i</v>
      </c>
      <c r="AX121">
        <f t="shared" si="141"/>
        <v>1.00002999426181</v>
      </c>
      <c r="AY121">
        <f t="shared" si="142"/>
        <v>0.00774512906478478</v>
      </c>
      <c r="AZ121" t="str">
        <f t="shared" si="116"/>
        <v>1+0,370290489526552i</v>
      </c>
      <c r="BA121">
        <f t="shared" si="143"/>
        <v>1.06635596619225</v>
      </c>
      <c r="BB121">
        <f t="shared" si="144"/>
        <v>0.354635405147104</v>
      </c>
      <c r="BC121" s="30" t="str">
        <f t="shared" si="145"/>
        <v>-0,241312393786824+0,667515320030175i</v>
      </c>
      <c r="BD121" s="32">
        <f t="shared" si="146"/>
        <v>-2.97734618308014</v>
      </c>
      <c r="BE121" s="31">
        <f t="shared" si="147"/>
        <v>109.875348773645</v>
      </c>
      <c r="BF121" s="30" t="str">
        <f t="shared" si="148"/>
        <v>16,6242818476774+31,7265783971519i</v>
      </c>
      <c r="BG121" s="68">
        <f t="shared" si="149"/>
        <v>31.0820720027128</v>
      </c>
      <c r="BH121" s="31">
        <f t="shared" si="150"/>
        <v>62.3460923701752</v>
      </c>
      <c r="BI121" s="30" t="str">
        <f t="shared" si="156"/>
        <v>37,0967156382903+140,027176081607i</v>
      </c>
      <c r="BJ121" s="68">
        <f t="shared" si="151"/>
        <v>43.2188364884724</v>
      </c>
      <c r="BK121" s="31">
        <f t="shared" si="157"/>
        <v>75.1617821084924</v>
      </c>
      <c r="BL121" s="32">
        <f t="shared" si="152"/>
        <v>31.0820720027128</v>
      </c>
      <c r="BM121" s="31">
        <f t="shared" si="153"/>
        <v>62.3460923701752</v>
      </c>
      <c r="BO121">
        <f t="shared" si="154"/>
        <v>0</v>
      </c>
      <c r="BP121">
        <f t="shared" si="155"/>
        <v>0</v>
      </c>
    </row>
    <row r="122" spans="14:68">
      <c r="N122" s="7">
        <v>4</v>
      </c>
      <c r="O122" s="18">
        <f t="shared" si="158"/>
        <v>109.647819614319</v>
      </c>
      <c r="P122" s="86" t="str">
        <f t="shared" si="105"/>
        <v>75</v>
      </c>
      <c r="Q122" s="4" t="str">
        <f t="shared" si="106"/>
        <v>1+1,12526469630278i</v>
      </c>
      <c r="R122" s="4">
        <f t="shared" si="118"/>
        <v>1.50539716910368</v>
      </c>
      <c r="S122" s="4">
        <f t="shared" si="119"/>
        <v>0.844270802230438</v>
      </c>
      <c r="T122" s="4" t="str">
        <f t="shared" si="107"/>
        <v>1+0,0108025410845067i</v>
      </c>
      <c r="U122" s="4">
        <f t="shared" si="120"/>
        <v>1.00005834574483</v>
      </c>
      <c r="V122" s="4">
        <f t="shared" si="121"/>
        <v>0.0108021209134636</v>
      </c>
      <c r="W122" t="str">
        <f t="shared" si="108"/>
        <v>1-0,00566651150638185i</v>
      </c>
      <c r="X122" s="4">
        <f t="shared" si="122"/>
        <v>1.00001605454745</v>
      </c>
      <c r="Y122" s="4">
        <f t="shared" si="123"/>
        <v>-0.00566645085821151</v>
      </c>
      <c r="Z122" t="str">
        <f t="shared" si="109"/>
        <v>0,999999901855965+0,00177816192596517i</v>
      </c>
      <c r="AA122" s="4">
        <f t="shared" si="124"/>
        <v>1.00000148278479</v>
      </c>
      <c r="AB122" s="4">
        <f t="shared" si="125"/>
        <v>0.00177816022638459</v>
      </c>
      <c r="AC122" s="67" t="str">
        <f t="shared" si="126"/>
        <v>33,2220180006448-37,1317328702378i</v>
      </c>
      <c r="AD122" s="68">
        <f t="shared" si="127"/>
        <v>33.9488367051805</v>
      </c>
      <c r="AE122" s="31">
        <f t="shared" si="128"/>
        <v>-48.1807825910606</v>
      </c>
      <c r="AF122" s="32" t="str">
        <f t="shared" si="129"/>
        <v>249,914648392112</v>
      </c>
      <c r="AG122" s="32" t="str">
        <f t="shared" si="110"/>
        <v>1+0,723384447623215i</v>
      </c>
      <c r="AH122" s="32">
        <f t="shared" si="130"/>
        <v>1.23421434891316</v>
      </c>
      <c r="AI122" s="32">
        <f t="shared" si="131"/>
        <v>0.626248434445144</v>
      </c>
      <c r="AJ122" s="32" t="str">
        <f t="shared" si="111"/>
        <v>1+0,0108025410845067i</v>
      </c>
      <c r="AK122" s="32">
        <f t="shared" si="132"/>
        <v>1.00005834574483</v>
      </c>
      <c r="AL122" s="32">
        <f t="shared" si="133"/>
        <v>0.0108021209134636</v>
      </c>
      <c r="AM122" s="32" t="str">
        <f t="shared" si="112"/>
        <v>1-0,00109318939807187i</v>
      </c>
      <c r="AN122" s="32">
        <f t="shared" si="134"/>
        <v>1.00000059753135</v>
      </c>
      <c r="AO122" s="32">
        <f t="shared" si="135"/>
        <v>-0.00109318896259543</v>
      </c>
      <c r="AP122" s="30" t="str">
        <f t="shared" si="136"/>
        <v>165,217204238439-117,089046813044i</v>
      </c>
      <c r="AQ122" s="32">
        <f t="shared" si="137"/>
        <v>46.1285343846743</v>
      </c>
      <c r="AR122" s="31">
        <f t="shared" si="138"/>
        <v>-35.3251113960174</v>
      </c>
      <c r="AS122" t="str">
        <f t="shared" si="113"/>
        <v>-0,000100699300699301</v>
      </c>
      <c r="AT122" t="str">
        <f t="shared" si="114"/>
        <v>0,000154804271791368i</v>
      </c>
      <c r="AU122">
        <f t="shared" si="139"/>
        <v>0.000154804271791368</v>
      </c>
      <c r="AV122">
        <f t="shared" si="140"/>
        <v>1.5707963267949</v>
      </c>
      <c r="AW122" t="str">
        <f t="shared" si="115"/>
        <v>1+0,00792569477655292i</v>
      </c>
      <c r="AX122">
        <f t="shared" si="141"/>
        <v>1.00003140782562</v>
      </c>
      <c r="AY122">
        <f t="shared" si="142"/>
        <v>0.00792552882764174</v>
      </c>
      <c r="AZ122" t="str">
        <f t="shared" si="116"/>
        <v>1+0,378915663040731i</v>
      </c>
      <c r="BA122">
        <f t="shared" si="143"/>
        <v>1.06938163426234</v>
      </c>
      <c r="BB122">
        <f t="shared" si="144"/>
        <v>0.362199153255307</v>
      </c>
      <c r="BC122" s="30" t="str">
        <f t="shared" si="145"/>
        <v>-0,241311711587799+0,652406890641607i</v>
      </c>
      <c r="BD122" s="32">
        <f t="shared" si="146"/>
        <v>-3.15274809990698</v>
      </c>
      <c r="BE122" s="31">
        <f t="shared" si="147"/>
        <v>110.298383472508</v>
      </c>
      <c r="BF122" s="30" t="str">
        <f t="shared" si="148"/>
        <v>16,2081363598703+30,6345954777782i</v>
      </c>
      <c r="BG122" s="68">
        <f t="shared" si="149"/>
        <v>30.7960886052735</v>
      </c>
      <c r="BH122" s="31">
        <f t="shared" si="150"/>
        <v>62.1176008814476</v>
      </c>
      <c r="BI122" s="30" t="str">
        <f t="shared" si="156"/>
        <v>36,5208546209589+136,043800792339i</v>
      </c>
      <c r="BJ122" s="68">
        <f t="shared" si="151"/>
        <v>42.9757862847674</v>
      </c>
      <c r="BK122" s="31">
        <f t="shared" si="157"/>
        <v>74.9732720764907</v>
      </c>
      <c r="BL122" s="32">
        <f t="shared" si="152"/>
        <v>30.7960886052735</v>
      </c>
      <c r="BM122" s="31">
        <f t="shared" si="153"/>
        <v>62.1176008814476</v>
      </c>
      <c r="BO122">
        <f t="shared" si="154"/>
        <v>0</v>
      </c>
      <c r="BP122">
        <f t="shared" si="155"/>
        <v>0</v>
      </c>
    </row>
    <row r="123" spans="14:68">
      <c r="N123" s="7">
        <v>5</v>
      </c>
      <c r="O123" s="18">
        <f t="shared" si="158"/>
        <v>112.201845430196</v>
      </c>
      <c r="P123" s="86" t="str">
        <f t="shared" si="105"/>
        <v>75</v>
      </c>
      <c r="Q123" s="4" t="str">
        <f t="shared" si="106"/>
        <v>1+1,15147547818756i</v>
      </c>
      <c r="R123" s="4">
        <f t="shared" si="118"/>
        <v>1.52508877671671</v>
      </c>
      <c r="S123" s="4">
        <f t="shared" si="119"/>
        <v>0.855687570626089</v>
      </c>
      <c r="T123" s="4" t="str">
        <f t="shared" si="107"/>
        <v>1+0,0110541645906006i</v>
      </c>
      <c r="U123" s="4">
        <f t="shared" si="120"/>
        <v>1.00006109541107</v>
      </c>
      <c r="V123" s="4">
        <f t="shared" si="121"/>
        <v>0.0110537143707019</v>
      </c>
      <c r="W123" t="str">
        <f t="shared" si="108"/>
        <v>1-0,00579850151515877i</v>
      </c>
      <c r="X123" s="4">
        <f t="shared" si="122"/>
        <v>1.0000168111686</v>
      </c>
      <c r="Y123" s="4">
        <f t="shared" si="123"/>
        <v>-0.00579843652953243</v>
      </c>
      <c r="Z123" t="str">
        <f t="shared" si="109"/>
        <v>0,999999897230579+0,00181958063798059i</v>
      </c>
      <c r="AA123" s="4">
        <f t="shared" si="124"/>
        <v>1.00000155266623</v>
      </c>
      <c r="AB123" s="4">
        <f t="shared" si="125"/>
        <v>0.00181957881684734</v>
      </c>
      <c r="AC123" s="67" t="str">
        <f t="shared" si="126"/>
        <v>32,3754899019368-37,0218861216279i</v>
      </c>
      <c r="AD123" s="68">
        <f t="shared" si="127"/>
        <v>33.8359859506658</v>
      </c>
      <c r="AE123" s="31">
        <f t="shared" si="128"/>
        <v>-48.8304353249065</v>
      </c>
      <c r="AF123" s="32" t="str">
        <f t="shared" si="129"/>
        <v>249,914648392112</v>
      </c>
      <c r="AG123" s="32" t="str">
        <f t="shared" si="110"/>
        <v>1+0,740234235977715i</v>
      </c>
      <c r="AH123" s="32">
        <f t="shared" si="130"/>
        <v>1.24416507108724</v>
      </c>
      <c r="AI123" s="32">
        <f t="shared" si="131"/>
        <v>0.637221666665136</v>
      </c>
      <c r="AJ123" s="32" t="str">
        <f t="shared" si="111"/>
        <v>1+0,0110541645906006i</v>
      </c>
      <c r="AK123" s="32">
        <f t="shared" si="132"/>
        <v>1.00006109541107</v>
      </c>
      <c r="AL123" s="32">
        <f t="shared" si="133"/>
        <v>0.0110537143707019</v>
      </c>
      <c r="AM123" s="32" t="str">
        <f t="shared" si="112"/>
        <v>1-0,00111865305028256i</v>
      </c>
      <c r="AN123" s="32">
        <f t="shared" si="134"/>
        <v>1.00000062569213</v>
      </c>
      <c r="AO123" s="32">
        <f t="shared" si="135"/>
        <v>-0.00111865258366116</v>
      </c>
      <c r="AP123" s="30" t="str">
        <f t="shared" si="136"/>
        <v>162,6385188713-117,907569884049i</v>
      </c>
      <c r="AQ123" s="32">
        <f t="shared" si="137"/>
        <v>46.0588102406754</v>
      </c>
      <c r="AR123" s="31">
        <f t="shared" si="138"/>
        <v>-35.9408750046052</v>
      </c>
      <c r="AS123" t="str">
        <f t="shared" si="113"/>
        <v>-0,000100699300699301</v>
      </c>
      <c r="AT123" t="str">
        <f t="shared" si="114"/>
        <v>0,000158410126499231i</v>
      </c>
      <c r="AU123">
        <f t="shared" si="139"/>
        <v>0.000158410126499231</v>
      </c>
      <c r="AV123">
        <f t="shared" si="140"/>
        <v>1.5707963267949</v>
      </c>
      <c r="AW123" t="str">
        <f t="shared" si="115"/>
        <v>1+0,00811030792380272i</v>
      </c>
      <c r="AX123">
        <f t="shared" si="141"/>
        <v>1.0000328880065</v>
      </c>
      <c r="AY123">
        <f t="shared" si="142"/>
        <v>0.00811013010665655</v>
      </c>
      <c r="AZ123" t="str">
        <f t="shared" si="116"/>
        <v>1+0,387741742654993i</v>
      </c>
      <c r="BA123">
        <f t="shared" si="143"/>
        <v>1.07254074934108</v>
      </c>
      <c r="BB123">
        <f t="shared" si="144"/>
        <v>0.369894454122089</v>
      </c>
      <c r="BC123" s="30" t="str">
        <f t="shared" si="145"/>
        <v>-0,241310997241858+0,63764437551235i</v>
      </c>
      <c r="BD123" s="32">
        <f t="shared" si="146"/>
        <v>-3.32713935099651</v>
      </c>
      <c r="BE123" s="31">
        <f t="shared" si="147"/>
        <v>110.728714860078</v>
      </c>
      <c r="BF123" s="30" t="str">
        <f t="shared" si="148"/>
        <v>15,7942357018847+29,5778373002114i</v>
      </c>
      <c r="BG123" s="68">
        <f t="shared" si="149"/>
        <v>30.5088465996693</v>
      </c>
      <c r="BH123" s="31">
        <f t="shared" si="150"/>
        <v>61.8982795351712</v>
      </c>
      <c r="BI123" s="30" t="str">
        <f t="shared" si="156"/>
        <v>35,936635588121+132,157930071028i</v>
      </c>
      <c r="BJ123" s="68">
        <f t="shared" si="151"/>
        <v>42.7316708896789</v>
      </c>
      <c r="BK123" s="31">
        <f t="shared" si="157"/>
        <v>74.7878398554726</v>
      </c>
      <c r="BL123" s="32">
        <f t="shared" si="152"/>
        <v>30.5088465996693</v>
      </c>
      <c r="BM123" s="31">
        <f t="shared" si="153"/>
        <v>61.8982795351712</v>
      </c>
      <c r="BO123">
        <f t="shared" si="154"/>
        <v>0</v>
      </c>
      <c r="BP123">
        <f t="shared" si="155"/>
        <v>0</v>
      </c>
    </row>
    <row r="124" spans="14:68">
      <c r="N124" s="7">
        <v>6</v>
      </c>
      <c r="O124" s="18">
        <f t="shared" si="158"/>
        <v>114.815362149688</v>
      </c>
      <c r="P124" s="86" t="str">
        <f t="shared" si="105"/>
        <v>75</v>
      </c>
      <c r="Q124" s="4" t="str">
        <f t="shared" si="106"/>
        <v>1+1,17829678761246i</v>
      </c>
      <c r="R124" s="4">
        <f t="shared" si="118"/>
        <v>1.54543952314474</v>
      </c>
      <c r="S124" s="4">
        <f t="shared" si="119"/>
        <v>0.867067569275551</v>
      </c>
      <c r="T124" s="4" t="str">
        <f t="shared" si="107"/>
        <v>1+0,0113116491610796i</v>
      </c>
      <c r="U124" s="4">
        <f t="shared" si="120"/>
        <v>1.00006397465699</v>
      </c>
      <c r="V124" s="4">
        <f t="shared" si="121"/>
        <v>0.0113111667434332</v>
      </c>
      <c r="W124" t="str">
        <f t="shared" si="108"/>
        <v>1-0,0059335659661913i</v>
      </c>
      <c r="X124" s="4">
        <f t="shared" si="122"/>
        <v>1.0000176034476</v>
      </c>
      <c r="Y124" s="4">
        <f t="shared" si="123"/>
        <v>-0.00593349633290432</v>
      </c>
      <c r="Z124" t="str">
        <f t="shared" si="109"/>
        <v>0,999999892387205+0,00186196411573529i</v>
      </c>
      <c r="AA124" s="4">
        <f t="shared" si="124"/>
        <v>1.00000162584107</v>
      </c>
      <c r="AB124" s="4">
        <f t="shared" si="125"/>
        <v>0.00186196216435602</v>
      </c>
      <c r="AC124" s="67" t="str">
        <f t="shared" si="126"/>
        <v>31,5344055578086-36,8931901108751i</v>
      </c>
      <c r="AD124" s="68">
        <f t="shared" si="127"/>
        <v>33.7208794108828</v>
      </c>
      <c r="AE124" s="31">
        <f t="shared" si="128"/>
        <v>-49.477877027651</v>
      </c>
      <c r="AF124" s="32" t="str">
        <f t="shared" si="129"/>
        <v>249,914648392112</v>
      </c>
      <c r="AG124" s="32" t="str">
        <f t="shared" si="110"/>
        <v>1+0,757476506322294i</v>
      </c>
      <c r="AH124" s="32">
        <f t="shared" si="130"/>
        <v>1.2545001624672</v>
      </c>
      <c r="AI124" s="32">
        <f t="shared" si="131"/>
        <v>0.648268926205924</v>
      </c>
      <c r="AJ124" s="32" t="str">
        <f t="shared" si="111"/>
        <v>1+0,0113116491610796i</v>
      </c>
      <c r="AK124" s="32">
        <f t="shared" si="132"/>
        <v>1.00006397465699</v>
      </c>
      <c r="AL124" s="32">
        <f t="shared" si="133"/>
        <v>0.0113111667434332</v>
      </c>
      <c r="AM124" s="32" t="str">
        <f t="shared" si="112"/>
        <v>1-0,00114470982714763i</v>
      </c>
      <c r="AN124" s="32">
        <f t="shared" si="134"/>
        <v>1.00000065518008</v>
      </c>
      <c r="AO124" s="32">
        <f t="shared" si="135"/>
        <v>-0.00114470932715381</v>
      </c>
      <c r="AP124" s="30" t="str">
        <f t="shared" si="136"/>
        <v>160,024925051974-118,674254083993i</v>
      </c>
      <c r="AQ124" s="32">
        <f t="shared" si="137"/>
        <v>45.9869811604886</v>
      </c>
      <c r="AR124" s="31">
        <f t="shared" si="138"/>
        <v>-36.560578358525</v>
      </c>
      <c r="AS124" t="str">
        <f t="shared" si="113"/>
        <v>-0,000100699300699301</v>
      </c>
      <c r="AT124" t="str">
        <f t="shared" si="114"/>
        <v>0,000162099972352971i</v>
      </c>
      <c r="AU124">
        <f t="shared" si="139"/>
        <v>0.000162099972352971</v>
      </c>
      <c r="AV124">
        <f t="shared" si="140"/>
        <v>1.5707963267949</v>
      </c>
      <c r="AW124" t="str">
        <f t="shared" si="115"/>
        <v>1+0,00829922126366639i</v>
      </c>
      <c r="AX124">
        <f t="shared" si="141"/>
        <v>1.00003443794381</v>
      </c>
      <c r="AY124">
        <f t="shared" si="142"/>
        <v>0.00829903072951584</v>
      </c>
      <c r="AZ124" t="str">
        <f t="shared" si="116"/>
        <v>1+0,396773408073582i</v>
      </c>
      <c r="BA124">
        <f t="shared" si="143"/>
        <v>1.07583880639914</v>
      </c>
      <c r="BB124">
        <f t="shared" si="144"/>
        <v>0.3777217413021</v>
      </c>
      <c r="BC124" s="30" t="str">
        <f t="shared" si="145"/>
        <v>-0,241310249234363+0,623219947325014i</v>
      </c>
      <c r="BD124" s="32">
        <f t="shared" si="146"/>
        <v>-3.50048473015042</v>
      </c>
      <c r="BE124" s="31">
        <f t="shared" si="147"/>
        <v>111.166362172092</v>
      </c>
      <c r="BF124" s="30" t="str">
        <f t="shared" si="148"/>
        <v>15,382996732939+28,5555754713691i</v>
      </c>
      <c r="BG124" s="68">
        <f t="shared" si="149"/>
        <v>30.2203946807324</v>
      </c>
      <c r="BH124" s="31">
        <f t="shared" si="150"/>
        <v>61.6884851444411</v>
      </c>
      <c r="BI124" s="30" t="str">
        <f t="shared" si="156"/>
        <v>35,3445078310593+128,368039192291i</v>
      </c>
      <c r="BJ124" s="68">
        <f t="shared" si="151"/>
        <v>42.4864964303382</v>
      </c>
      <c r="BK124" s="31">
        <f t="shared" si="157"/>
        <v>74.605783813567</v>
      </c>
      <c r="BL124" s="32">
        <f t="shared" si="152"/>
        <v>30.2203946807324</v>
      </c>
      <c r="BM124" s="31">
        <f t="shared" si="153"/>
        <v>61.6884851444411</v>
      </c>
      <c r="BO124">
        <f t="shared" si="154"/>
        <v>0</v>
      </c>
      <c r="BP124">
        <f t="shared" si="155"/>
        <v>0</v>
      </c>
    </row>
    <row r="125" spans="14:68">
      <c r="N125" s="7">
        <v>7</v>
      </c>
      <c r="O125" s="18">
        <f t="shared" si="158"/>
        <v>117.489755493953</v>
      </c>
      <c r="P125" s="86" t="str">
        <f t="shared" si="105"/>
        <v>75</v>
      </c>
      <c r="Q125" s="4" t="str">
        <f t="shared" si="106"/>
        <v>1+1,20574284559076i</v>
      </c>
      <c r="R125" s="4">
        <f t="shared" si="118"/>
        <v>1.56646602570669</v>
      </c>
      <c r="S125" s="4">
        <f t="shared" si="119"/>
        <v>0.878405042790678</v>
      </c>
      <c r="T125" s="4" t="str">
        <f t="shared" si="107"/>
        <v>1+0,0115751313176713i</v>
      </c>
      <c r="U125" s="4">
        <f t="shared" si="120"/>
        <v>1.00006698958871</v>
      </c>
      <c r="V125" s="4">
        <f t="shared" si="121"/>
        <v>0.0115746143997201</v>
      </c>
      <c r="W125" t="str">
        <f t="shared" si="108"/>
        <v>1-0,00607177647243916i</v>
      </c>
      <c r="X125" s="4">
        <f t="shared" si="122"/>
        <v>1.00001843306488</v>
      </c>
      <c r="Y125" s="4">
        <f t="shared" si="123"/>
        <v>-0.00607170185910215</v>
      </c>
      <c r="Z125" t="str">
        <f t="shared" si="109"/>
        <v>0,99999988731557+0,00190533483151016i</v>
      </c>
      <c r="AA125" s="4">
        <f t="shared" si="124"/>
        <v>1.00000170246454</v>
      </c>
      <c r="AB125" s="4">
        <f t="shared" si="125"/>
        <v>0.0019053327405698</v>
      </c>
      <c r="AC125" s="67" t="str">
        <f t="shared" si="126"/>
        <v>30,6995951590591-36,7459767330881i</v>
      </c>
      <c r="AD125" s="68">
        <f t="shared" si="127"/>
        <v>33.6035328286969</v>
      </c>
      <c r="AE125" s="31">
        <f t="shared" si="128"/>
        <v>-50.1227755159099</v>
      </c>
      <c r="AF125" s="32" t="str">
        <f t="shared" si="129"/>
        <v>249,914648392112</v>
      </c>
      <c r="AG125" s="32" t="str">
        <f t="shared" si="110"/>
        <v>1+0,775120400736914i</v>
      </c>
      <c r="AH125" s="32">
        <f t="shared" si="130"/>
        <v>1.26523185054699</v>
      </c>
      <c r="AI125" s="32">
        <f t="shared" si="131"/>
        <v>0.659385285025196</v>
      </c>
      <c r="AJ125" s="32" t="str">
        <f t="shared" si="111"/>
        <v>1+0,0115751313176713i</v>
      </c>
      <c r="AK125" s="32">
        <f t="shared" si="132"/>
        <v>1.00006698958871</v>
      </c>
      <c r="AL125" s="32">
        <f t="shared" si="133"/>
        <v>0.0115746143997201</v>
      </c>
      <c r="AM125" s="32" t="str">
        <f t="shared" si="112"/>
        <v>1-0,00117137354431509i</v>
      </c>
      <c r="AN125" s="32">
        <f t="shared" si="134"/>
        <v>1.00000068605775</v>
      </c>
      <c r="AO125" s="32">
        <f t="shared" si="135"/>
        <v>-0.00117137300856208</v>
      </c>
      <c r="AP125" s="30" t="str">
        <f t="shared" si="136"/>
        <v>157,37853490125-119,38726157416i</v>
      </c>
      <c r="AQ125" s="32">
        <f t="shared" si="137"/>
        <v>45.9130197287703</v>
      </c>
      <c r="AR125" s="31">
        <f t="shared" si="138"/>
        <v>-37.1839320800054</v>
      </c>
      <c r="AS125" t="str">
        <f t="shared" si="113"/>
        <v>-0,000100699300699301</v>
      </c>
      <c r="AT125" t="str">
        <f t="shared" si="114"/>
        <v>0,0001658757657577i</v>
      </c>
      <c r="AU125">
        <f t="shared" si="139"/>
        <v>0.0001658757657577</v>
      </c>
      <c r="AV125">
        <f t="shared" si="140"/>
        <v>1.5707963267949</v>
      </c>
      <c r="AW125" t="str">
        <f t="shared" si="115"/>
        <v>1+0,00849253496049727i</v>
      </c>
      <c r="AX125">
        <f t="shared" si="141"/>
        <v>1.00003606092483</v>
      </c>
      <c r="AY125">
        <f t="shared" si="142"/>
        <v>0.00849233079987425</v>
      </c>
      <c r="AZ125" t="str">
        <f t="shared" si="116"/>
        <v>1+0,40601544800505i</v>
      </c>
      <c r="BA125">
        <f t="shared" si="143"/>
        <v>1.0792814943372</v>
      </c>
      <c r="BB125">
        <f t="shared" si="144"/>
        <v>0.385681327499295</v>
      </c>
      <c r="BC125" s="30" t="str">
        <f t="shared" si="145"/>
        <v>-0,241309465979332+0,609125958017788i</v>
      </c>
      <c r="BD125" s="32">
        <f t="shared" si="146"/>
        <v>-3.67274832671437</v>
      </c>
      <c r="BE125" s="31">
        <f t="shared" si="147"/>
        <v>111.611337589651</v>
      </c>
      <c r="BF125" s="30" t="str">
        <f t="shared" si="148"/>
        <v>14,9748253672274+27,5670723343706i</v>
      </c>
      <c r="BG125" s="68">
        <f t="shared" si="149"/>
        <v>29.9307845019825</v>
      </c>
      <c r="BH125" s="31">
        <f t="shared" si="150"/>
        <v>61.4885620737409</v>
      </c>
      <c r="BI125" s="30" t="str">
        <f t="shared" si="156"/>
        <v>34,7449498678502+124,672627178355i</v>
      </c>
      <c r="BJ125" s="68">
        <f t="shared" si="151"/>
        <v>42.2402714020559</v>
      </c>
      <c r="BK125" s="31">
        <f t="shared" si="157"/>
        <v>74.4274055096454</v>
      </c>
      <c r="BL125" s="32">
        <f t="shared" si="152"/>
        <v>29.9307845019825</v>
      </c>
      <c r="BM125" s="31">
        <f t="shared" si="153"/>
        <v>61.4885620737409</v>
      </c>
      <c r="BO125">
        <f t="shared" si="154"/>
        <v>0</v>
      </c>
      <c r="BP125">
        <f t="shared" si="155"/>
        <v>0</v>
      </c>
    </row>
    <row r="126" spans="14:68">
      <c r="N126" s="7">
        <v>8</v>
      </c>
      <c r="O126" s="18">
        <f t="shared" si="158"/>
        <v>120.226443461741</v>
      </c>
      <c r="P126" s="86" t="str">
        <f t="shared" si="105"/>
        <v>75</v>
      </c>
      <c r="Q126" s="4" t="str">
        <f t="shared" si="106"/>
        <v>1+1,23382820438567i</v>
      </c>
      <c r="R126" s="4">
        <f t="shared" si="118"/>
        <v>1.58818513969171</v>
      </c>
      <c r="S126" s="4">
        <f t="shared" si="119"/>
        <v>0.8896943448493</v>
      </c>
      <c r="T126" s="4" t="str">
        <f t="shared" si="107"/>
        <v>1+0,0118447507621024i</v>
      </c>
      <c r="U126" s="4">
        <f t="shared" si="120"/>
        <v>1.00007014660004</v>
      </c>
      <c r="V126" s="4">
        <f t="shared" si="121"/>
        <v>0.0118441968766367</v>
      </c>
      <c r="W126" t="str">
        <f t="shared" si="108"/>
        <v>1-0,00621320631494213i</v>
      </c>
      <c r="X126" s="4">
        <f t="shared" si="122"/>
        <v>1.00001930178008</v>
      </c>
      <c r="Y126" s="4">
        <f t="shared" si="123"/>
        <v>-0.00621312636539444</v>
      </c>
      <c r="Z126" t="str">
        <f t="shared" si="109"/>
        <v>0,999999882004917+0,00194971578103277i</v>
      </c>
      <c r="AA126" s="4">
        <f t="shared" si="124"/>
        <v>1.00000178269915</v>
      </c>
      <c r="AB126" s="4">
        <f t="shared" si="125"/>
        <v>0.00194971354055002</v>
      </c>
      <c r="AC126" s="67" t="str">
        <f t="shared" si="126"/>
        <v>29,8718633684541-36,5806221874653i</v>
      </c>
      <c r="AD126" s="68">
        <f t="shared" si="127"/>
        <v>33.4839641372205</v>
      </c>
      <c r="AE126" s="31">
        <f t="shared" si="128"/>
        <v>-50.76480479922</v>
      </c>
      <c r="AF126" s="32" t="str">
        <f t="shared" si="129"/>
        <v>249,914648392112</v>
      </c>
      <c r="AG126" s="32" t="str">
        <f t="shared" si="110"/>
        <v>1+0,793175274247931i</v>
      </c>
      <c r="AH126" s="32">
        <f t="shared" si="130"/>
        <v>1.27637260064539</v>
      </c>
      <c r="AI126" s="32">
        <f t="shared" si="131"/>
        <v>0.67056564814858</v>
      </c>
      <c r="AJ126" s="32" t="str">
        <f t="shared" si="111"/>
        <v>1+0,0118447507621024i</v>
      </c>
      <c r="AK126" s="32">
        <f t="shared" si="132"/>
        <v>1.00007014660004</v>
      </c>
      <c r="AL126" s="32">
        <f t="shared" si="133"/>
        <v>0.0118441968766367</v>
      </c>
      <c r="AM126" s="32" t="str">
        <f t="shared" si="112"/>
        <v>1-0,00119865833924069i</v>
      </c>
      <c r="AN126" s="32">
        <f t="shared" si="134"/>
        <v>1.00000071839065</v>
      </c>
      <c r="AO126" s="32">
        <f t="shared" si="135"/>
        <v>-0.00119865776517102</v>
      </c>
      <c r="AP126" s="30" t="str">
        <f t="shared" si="136"/>
        <v>154,701584222066-120,044857047317i</v>
      </c>
      <c r="AQ126" s="32">
        <f t="shared" si="137"/>
        <v>45.8369002965647</v>
      </c>
      <c r="AR126" s="31">
        <f t="shared" si="138"/>
        <v>-37.8106370636397</v>
      </c>
      <c r="AS126" t="str">
        <f t="shared" si="113"/>
        <v>-0,000100699300699301</v>
      </c>
      <c r="AT126" t="str">
        <f t="shared" si="114"/>
        <v>0,000169739508689057i</v>
      </c>
      <c r="AU126">
        <f t="shared" si="139"/>
        <v>0.000169739508689057</v>
      </c>
      <c r="AV126">
        <f t="shared" si="140"/>
        <v>1.5707963267949</v>
      </c>
      <c r="AW126" t="str">
        <f t="shared" si="115"/>
        <v>1+0,00869035151177614i</v>
      </c>
      <c r="AX126">
        <f t="shared" si="141"/>
        <v>1.00003776039178</v>
      </c>
      <c r="AY126">
        <f t="shared" si="142"/>
        <v>0.00869013275017333</v>
      </c>
      <c r="AZ126" t="str">
        <f t="shared" si="116"/>
        <v>1+0,415472762701297i</v>
      </c>
      <c r="BA126">
        <f t="shared" si="143"/>
        <v>1.08287470029854</v>
      </c>
      <c r="BB126">
        <f t="shared" si="144"/>
        <v>0.393773397715173</v>
      </c>
      <c r="BC126" s="30" t="str">
        <f t="shared" si="145"/>
        <v>-0,241308645816078+0,595354934729147i</v>
      </c>
      <c r="BD126" s="32">
        <f t="shared" si="146"/>
        <v>-3.84389355515033</v>
      </c>
      <c r="BE126" s="31">
        <f t="shared" si="147"/>
        <v>112.063645843613</v>
      </c>
      <c r="BF126" s="30" t="str">
        <f t="shared" si="148"/>
        <v>14,5701150373254+26,6115816691308i</v>
      </c>
      <c r="BG126" s="68">
        <f t="shared" si="149"/>
        <v>29.6400705820702</v>
      </c>
      <c r="BH126" s="31">
        <f t="shared" si="150"/>
        <v>61.2988410443926</v>
      </c>
      <c r="BI126" s="30" t="str">
        <f t="shared" si="156"/>
        <v>34,1384682377465+121,070213468296i</v>
      </c>
      <c r="BJ126" s="68">
        <f t="shared" si="151"/>
        <v>41.9930067414144</v>
      </c>
      <c r="BK126" s="31">
        <f t="shared" si="157"/>
        <v>74.2530087799727</v>
      </c>
      <c r="BL126" s="32">
        <f t="shared" si="152"/>
        <v>29.6400705820702</v>
      </c>
      <c r="BM126" s="31">
        <f t="shared" si="153"/>
        <v>61.2988410443926</v>
      </c>
      <c r="BO126">
        <f t="shared" si="154"/>
        <v>0</v>
      </c>
      <c r="BP126">
        <f t="shared" si="155"/>
        <v>0</v>
      </c>
    </row>
    <row r="127" spans="14:68">
      <c r="N127" s="7">
        <v>9</v>
      </c>
      <c r="O127" s="18">
        <f t="shared" si="158"/>
        <v>123.026877081238</v>
      </c>
      <c r="P127" s="86" t="str">
        <f t="shared" si="105"/>
        <v>75</v>
      </c>
      <c r="Q127" s="4" t="str">
        <f t="shared" si="106"/>
        <v>1+1,26256775522621i</v>
      </c>
      <c r="R127" s="4">
        <f t="shared" si="118"/>
        <v>1.61061396260462</v>
      </c>
      <c r="S127" s="4">
        <f t="shared" si="119"/>
        <v>0.90092995148987</v>
      </c>
      <c r="T127" s="4" t="str">
        <f t="shared" si="107"/>
        <v>1+0,0121206504501716i</v>
      </c>
      <c r="U127" s="4">
        <f t="shared" si="120"/>
        <v>1.00007345238604</v>
      </c>
      <c r="V127" s="4">
        <f t="shared" si="121"/>
        <v>0.0121200569535565</v>
      </c>
      <c r="W127" t="str">
        <f t="shared" si="108"/>
        <v>1-0,00635793048167482i</v>
      </c>
      <c r="X127" s="4">
        <f t="shared" si="122"/>
        <v>1.00002021143575</v>
      </c>
      <c r="Y127" s="4">
        <f t="shared" si="123"/>
        <v>-0.00635784481428454</v>
      </c>
      <c r="Z127" t="str">
        <f t="shared" si="109"/>
        <v>0,99999987644398+0,00199513049567003i</v>
      </c>
      <c r="AA127" s="4">
        <f t="shared" si="124"/>
        <v>1.00000186671509</v>
      </c>
      <c r="AB127" s="4">
        <f t="shared" si="125"/>
        <v>0.00199512809494975</v>
      </c>
      <c r="AC127" s="67" t="str">
        <f t="shared" si="126"/>
        <v>29,0519863952168-36,3975446769106i</v>
      </c>
      <c r="AD127" s="68">
        <f t="shared" si="127"/>
        <v>33.3621933877146</v>
      </c>
      <c r="AE127" s="31">
        <f t="shared" si="128"/>
        <v>-51.4036458404847</v>
      </c>
      <c r="AF127" s="32" t="str">
        <f t="shared" si="129"/>
        <v>249,914648392112</v>
      </c>
      <c r="AG127" s="32" t="str">
        <f t="shared" si="110"/>
        <v>1+0,811650699788275i</v>
      </c>
      <c r="AH127" s="32">
        <f t="shared" si="130"/>
        <v>1.28793511423006</v>
      </c>
      <c r="AI127" s="32">
        <f t="shared" si="131"/>
        <v>0.681804763709095</v>
      </c>
      <c r="AJ127" s="32" t="str">
        <f t="shared" si="111"/>
        <v>1+0,0121206504501716i</v>
      </c>
      <c r="AK127" s="32">
        <f t="shared" si="132"/>
        <v>1.00007345238604</v>
      </c>
      <c r="AL127" s="32">
        <f t="shared" si="133"/>
        <v>0.0121200569535565</v>
      </c>
      <c r="AM127" s="32" t="str">
        <f t="shared" si="112"/>
        <v>1-0,00122657867868389i</v>
      </c>
      <c r="AN127" s="32">
        <f t="shared" si="134"/>
        <v>1.00000075224734</v>
      </c>
      <c r="AO127" s="32">
        <f t="shared" si="135"/>
        <v>-0.00122657806355718</v>
      </c>
      <c r="AP127" s="30" t="str">
        <f t="shared" si="136"/>
        <v>151,996426233571-120,645417601465i</v>
      </c>
      <c r="AQ127" s="32">
        <f t="shared" si="137"/>
        <v>45.7585990792729</v>
      </c>
      <c r="AR127" s="31">
        <f t="shared" si="138"/>
        <v>-38.4403850478337</v>
      </c>
      <c r="AS127" t="str">
        <f t="shared" si="113"/>
        <v>-0,000100699300699301</v>
      </c>
      <c r="AT127" t="str">
        <f t="shared" si="114"/>
        <v>0,000173693249754691i</v>
      </c>
      <c r="AU127">
        <f t="shared" si="139"/>
        <v>0.000173693249754691</v>
      </c>
      <c r="AV127">
        <f t="shared" si="140"/>
        <v>1.5707963267949</v>
      </c>
      <c r="AW127" t="str">
        <f t="shared" si="115"/>
        <v>1+0,008892775802457i</v>
      </c>
      <c r="AX127">
        <f t="shared" si="141"/>
        <v>1.00003953994903</v>
      </c>
      <c r="AY127">
        <f t="shared" si="142"/>
        <v>0.0088925413956769</v>
      </c>
      <c r="AZ127" t="str">
        <f t="shared" si="116"/>
        <v>1+0,425150366555763i</v>
      </c>
      <c r="BA127">
        <f t="shared" si="143"/>
        <v>1.08662451388808</v>
      </c>
      <c r="BB127">
        <f t="shared" si="144"/>
        <v>0.401998002372152</v>
      </c>
      <c r="BC127" s="30" t="str">
        <f t="shared" si="145"/>
        <v>-0,241307787005695+0,581899575835403i</v>
      </c>
      <c r="BD127" s="32">
        <f t="shared" si="146"/>
        <v>-4.01388318883575</v>
      </c>
      <c r="BE127" s="31">
        <f t="shared" si="147"/>
        <v>112.523283817497</v>
      </c>
      <c r="BF127" s="30" t="str">
        <f t="shared" si="148"/>
        <v>14,1692452637951+25,6883495189788i</v>
      </c>
      <c r="BG127" s="68">
        <f t="shared" si="149"/>
        <v>29.3483101988789</v>
      </c>
      <c r="BH127" s="31">
        <f t="shared" si="150"/>
        <v>61.119637977012</v>
      </c>
      <c r="BI127" s="30" t="str">
        <f t="shared" si="156"/>
        <v>33,5255960815802+117,5593346876i</v>
      </c>
      <c r="BJ127" s="68">
        <f t="shared" si="151"/>
        <v>41.7447158904372</v>
      </c>
      <c r="BK127" s="31">
        <f t="shared" si="157"/>
        <v>74.082898769663</v>
      </c>
      <c r="BL127" s="32">
        <f t="shared" si="152"/>
        <v>29.3483101988789</v>
      </c>
      <c r="BM127" s="31">
        <f t="shared" si="153"/>
        <v>61.119637977012</v>
      </c>
      <c r="BO127">
        <f t="shared" si="154"/>
        <v>0</v>
      </c>
      <c r="BP127">
        <f t="shared" si="155"/>
        <v>0</v>
      </c>
    </row>
    <row r="128" spans="14:68">
      <c r="N128" s="7">
        <v>10</v>
      </c>
      <c r="O128" s="18">
        <f t="shared" si="158"/>
        <v>125.892541179417</v>
      </c>
      <c r="P128" s="86" t="str">
        <f t="shared" si="105"/>
        <v>75</v>
      </c>
      <c r="Q128" s="4" t="str">
        <f t="shared" si="106"/>
        <v>1+1,29197673620262i</v>
      </c>
      <c r="R128" s="4">
        <f t="shared" si="118"/>
        <v>1.63376983901919</v>
      </c>
      <c r="S128" s="4">
        <f t="shared" si="119"/>
        <v>0.9121064736634</v>
      </c>
      <c r="T128" s="4" t="str">
        <f t="shared" si="107"/>
        <v>1+0,0124029766675452i</v>
      </c>
      <c r="U128" s="4">
        <f t="shared" si="120"/>
        <v>1.00007691395723</v>
      </c>
      <c r="V128" s="4">
        <f t="shared" si="121"/>
        <v>0.012402340727106</v>
      </c>
      <c r="W128" t="str">
        <f t="shared" si="108"/>
        <v>1-0,00650602570730607i</v>
      </c>
      <c r="X128" s="4">
        <f t="shared" si="122"/>
        <v>1.0000211639613</v>
      </c>
      <c r="Y128" s="4">
        <f t="shared" si="123"/>
        <v>-0.00650593391314847</v>
      </c>
      <c r="Z128" t="str">
        <f t="shared" si="109"/>
        <v>0,999999870620964+0,00204160305490478i</v>
      </c>
      <c r="AA128" s="4">
        <f t="shared" si="124"/>
        <v>1.00000195469058</v>
      </c>
      <c r="AB128" s="4">
        <f t="shared" si="125"/>
        <v>0.00204160048248693</v>
      </c>
      <c r="AC128" s="67" t="str">
        <f t="shared" si="126"/>
        <v>28,2407093075471-36,197201889779i</v>
      </c>
      <c r="AD128" s="68">
        <f t="shared" si="127"/>
        <v>33.2382426699859</v>
      </c>
      <c r="AE128" s="31">
        <f t="shared" si="128"/>
        <v>-52.0389872738396</v>
      </c>
      <c r="AF128" s="32" t="str">
        <f t="shared" si="129"/>
        <v>249,914648392112</v>
      </c>
      <c r="AG128" s="32" t="str">
        <f t="shared" si="110"/>
        <v>1+0,830556473273114i</v>
      </c>
      <c r="AH128" s="32">
        <f t="shared" si="130"/>
        <v>1.29993232719856</v>
      </c>
      <c r="AI128" s="32">
        <f t="shared" si="131"/>
        <v>0.693097233888909</v>
      </c>
      <c r="AJ128" s="32" t="str">
        <f t="shared" si="111"/>
        <v>1+0,0124029766675452i</v>
      </c>
      <c r="AK128" s="32">
        <f t="shared" si="132"/>
        <v>1.00007691395723</v>
      </c>
      <c r="AL128" s="32">
        <f t="shared" si="133"/>
        <v>0.012402340727106</v>
      </c>
      <c r="AM128" s="32" t="str">
        <f t="shared" si="112"/>
        <v>1-0,00125514936637822i</v>
      </c>
      <c r="AN128" s="32">
        <f t="shared" si="134"/>
        <v>1.00000078769966</v>
      </c>
      <c r="AO128" s="32">
        <f t="shared" si="135"/>
        <v>-0.0012551487072581</v>
      </c>
      <c r="AP128" s="30" t="str">
        <f t="shared" si="136"/>
        <v>149,265524384-121,18744217333i</v>
      </c>
      <c r="AQ128" s="32">
        <f t="shared" si="137"/>
        <v>45.678094249169</v>
      </c>
      <c r="AR128" s="31">
        <f t="shared" si="138"/>
        <v>-39.072859237867</v>
      </c>
      <c r="AS128" t="str">
        <f t="shared" si="113"/>
        <v>-0,000100699300699301</v>
      </c>
      <c r="AT128" t="str">
        <f t="shared" si="114"/>
        <v>0,000177739085280447i</v>
      </c>
      <c r="AU128">
        <f t="shared" si="139"/>
        <v>0.000177739085280447</v>
      </c>
      <c r="AV128">
        <f t="shared" si="140"/>
        <v>1.5707963267949</v>
      </c>
      <c r="AW128" t="str">
        <f t="shared" si="115"/>
        <v>1+0,00909991516057814i</v>
      </c>
      <c r="AX128">
        <f t="shared" si="141"/>
        <v>1.00004140337085</v>
      </c>
      <c r="AY128">
        <f t="shared" si="142"/>
        <v>0.00909966398974962</v>
      </c>
      <c r="AZ128" t="str">
        <f t="shared" si="116"/>
        <v>1+0,435053390762107i</v>
      </c>
      <c r="BA128">
        <f t="shared" si="143"/>
        <v>1.09053723128264</v>
      </c>
      <c r="BB128">
        <f t="shared" si="144"/>
        <v>0.410355050444407</v>
      </c>
      <c r="BC128" s="30" t="str">
        <f t="shared" si="145"/>
        <v>-0,241306887727377+0,568752747079125i</v>
      </c>
      <c r="BD128" s="32">
        <f t="shared" si="146"/>
        <v>-4.18267939825711</v>
      </c>
      <c r="BE128" s="31">
        <f t="shared" si="147"/>
        <v>112.990240150743</v>
      </c>
      <c r="BF128" s="30" t="str">
        <f t="shared" si="148"/>
        <v>13,7725803411717+24,7966151305925i</v>
      </c>
      <c r="BG128" s="68">
        <f t="shared" si="149"/>
        <v>29.0555632717288</v>
      </c>
      <c r="BH128" s="31">
        <f t="shared" si="150"/>
        <v>60.9512528769031</v>
      </c>
      <c r="BI128" s="30" t="str">
        <f t="shared" si="156"/>
        <v>32,9068915134761+114,138541540094i</v>
      </c>
      <c r="BJ128" s="68">
        <f t="shared" si="151"/>
        <v>41.4954148509119</v>
      </c>
      <c r="BK128" s="31">
        <f t="shared" si="157"/>
        <v>73.9173809128757</v>
      </c>
      <c r="BL128" s="32">
        <f t="shared" si="152"/>
        <v>29.0555632717288</v>
      </c>
      <c r="BM128" s="31">
        <f t="shared" si="153"/>
        <v>60.9512528769031</v>
      </c>
      <c r="BO128">
        <f t="shared" si="154"/>
        <v>0</v>
      </c>
      <c r="BP128">
        <f t="shared" si="155"/>
        <v>0</v>
      </c>
    </row>
    <row r="129" spans="14:68">
      <c r="N129" s="7">
        <v>11</v>
      </c>
      <c r="O129" s="18">
        <f t="shared" si="158"/>
        <v>128.824955169313</v>
      </c>
      <c r="P129" s="86" t="str">
        <f t="shared" si="105"/>
        <v>75</v>
      </c>
      <c r="Q129" s="4" t="str">
        <f t="shared" si="106"/>
        <v>1+1,3220707403459i</v>
      </c>
      <c r="R129" s="4">
        <f t="shared" si="118"/>
        <v>1.65767036604952</v>
      </c>
      <c r="S129" s="4">
        <f t="shared" si="119"/>
        <v>0.92321866897995</v>
      </c>
      <c r="T129" s="4" t="str">
        <f t="shared" si="107"/>
        <v>1+0,0126918791073206i</v>
      </c>
      <c r="U129" s="4">
        <f t="shared" si="120"/>
        <v>1.0000805386544</v>
      </c>
      <c r="V129" s="4">
        <f t="shared" si="121"/>
        <v>0.0126911976878268</v>
      </c>
      <c r="W129" t="str">
        <f t="shared" si="108"/>
        <v>1-0,0066575705138847i</v>
      </c>
      <c r="X129" s="4">
        <f t="shared" si="122"/>
        <v>1.00002216137701</v>
      </c>
      <c r="Y129" s="4">
        <f t="shared" si="123"/>
        <v>-0.00665747215479045</v>
      </c>
      <c r="Z129" t="str">
        <f t="shared" si="109"/>
        <v>0,999999864523518+0,00208915809910303i</v>
      </c>
      <c r="AA129" s="4">
        <f t="shared" si="124"/>
        <v>1.00000204681221</v>
      </c>
      <c r="AB129" s="4">
        <f t="shared" si="125"/>
        <v>0.00208915534270794</v>
      </c>
      <c r="AC129" s="67" t="str">
        <f t="shared" si="126"/>
        <v>27,4387436006454-35,9800882912757i</v>
      </c>
      <c r="AD129" s="68">
        <f t="shared" si="127"/>
        <v>33.1121360259414</v>
      </c>
      <c r="AE129" s="31">
        <f t="shared" si="128"/>
        <v>-52.6705260763376</v>
      </c>
      <c r="AF129" s="32" t="str">
        <f t="shared" si="129"/>
        <v>249,914648392112</v>
      </c>
      <c r="AG129" s="32" t="str">
        <f t="shared" si="110"/>
        <v>1+0,84990261879379i</v>
      </c>
      <c r="AH129" s="32">
        <f t="shared" si="130"/>
        <v>1.31237740815382</v>
      </c>
      <c r="AI129" s="32">
        <f t="shared" si="131"/>
        <v>0.704437526717722</v>
      </c>
      <c r="AJ129" s="32" t="str">
        <f t="shared" si="111"/>
        <v>1+0,0126918791073206i</v>
      </c>
      <c r="AK129" s="32">
        <f t="shared" si="132"/>
        <v>1.0000805386544</v>
      </c>
      <c r="AL129" s="32">
        <f t="shared" si="133"/>
        <v>0.0126911976878268</v>
      </c>
      <c r="AM129" s="32" t="str">
        <f t="shared" si="112"/>
        <v>1-0,00128438555088045i</v>
      </c>
      <c r="AN129" s="32">
        <f t="shared" si="134"/>
        <v>1.00000082482278</v>
      </c>
      <c r="AO129" s="32">
        <f t="shared" si="135"/>
        <v>-0.00128438484462055</v>
      </c>
      <c r="AP129" s="30" t="str">
        <f t="shared" si="136"/>
        <v>146,511444277427-121,669560433452i</v>
      </c>
      <c r="AQ129" s="32">
        <f t="shared" si="137"/>
        <v>45.5953660217299</v>
      </c>
      <c r="AR129" s="31">
        <f t="shared" si="138"/>
        <v>-39.7077349779481</v>
      </c>
      <c r="AS129" t="str">
        <f t="shared" si="113"/>
        <v>-0,000100699300699301</v>
      </c>
      <c r="AT129" t="str">
        <f t="shared" si="114"/>
        <v>0,000181879160421871i</v>
      </c>
      <c r="AU129">
        <f t="shared" si="139"/>
        <v>0.000181879160421871</v>
      </c>
      <c r="AV129">
        <f t="shared" si="140"/>
        <v>1.5707963267949</v>
      </c>
      <c r="AW129" t="str">
        <f t="shared" si="115"/>
        <v>1+0,00931187941416894i</v>
      </c>
      <c r="AX129">
        <f t="shared" si="141"/>
        <v>1.0000433546093</v>
      </c>
      <c r="AY129">
        <f t="shared" si="142"/>
        <v>0.00931161028040742</v>
      </c>
      <c r="AZ129" t="str">
        <f t="shared" si="116"/>
        <v>1+0,445187086034842i</v>
      </c>
      <c r="BA129">
        <f t="shared" si="143"/>
        <v>1.0946193592168</v>
      </c>
      <c r="BB129">
        <f t="shared" si="144"/>
        <v>0.418844302631552</v>
      </c>
      <c r="BC129" s="30" t="str">
        <f t="shared" si="145"/>
        <v>-0,241305946074565+0,555907477786212i</v>
      </c>
      <c r="BD129" s="32">
        <f t="shared" si="146"/>
        <v>-4.35024379375274</v>
      </c>
      <c r="BE129" s="31">
        <f t="shared" si="147"/>
        <v>113.46449484435</v>
      </c>
      <c r="BF129" s="30" t="str">
        <f t="shared" si="148"/>
        <v>13,3804681488771+23,93561199363i</v>
      </c>
      <c r="BG129" s="68">
        <f t="shared" si="149"/>
        <v>28.7618922321886</v>
      </c>
      <c r="BH129" s="31">
        <f t="shared" si="150"/>
        <v>60.7939687680127</v>
      </c>
      <c r="BI129" s="30" t="str">
        <f t="shared" si="156"/>
        <v>32,282935791802+110,80639584395i</v>
      </c>
      <c r="BJ129" s="68">
        <f t="shared" si="151"/>
        <v>41.2451222279771</v>
      </c>
      <c r="BK129" s="31">
        <f t="shared" si="157"/>
        <v>73.756759866402</v>
      </c>
      <c r="BL129" s="32">
        <f t="shared" si="152"/>
        <v>28.7618922321886</v>
      </c>
      <c r="BM129" s="31">
        <f t="shared" si="153"/>
        <v>60.7939687680127</v>
      </c>
      <c r="BO129">
        <f t="shared" si="154"/>
        <v>0</v>
      </c>
      <c r="BP129">
        <f t="shared" si="155"/>
        <v>0</v>
      </c>
    </row>
    <row r="130" spans="14:68">
      <c r="N130" s="7">
        <v>12</v>
      </c>
      <c r="O130" s="18">
        <f t="shared" si="158"/>
        <v>131.825673855641</v>
      </c>
      <c r="P130" s="86" t="str">
        <f t="shared" si="105"/>
        <v>75</v>
      </c>
      <c r="Q130" s="4" t="str">
        <f t="shared" si="106"/>
        <v>1+1,35286572389539i</v>
      </c>
      <c r="R130" s="4">
        <f t="shared" si="118"/>
        <v>1.68233339944584</v>
      </c>
      <c r="S130" s="4">
        <f t="shared" si="119"/>
        <v>0.934261452595329</v>
      </c>
      <c r="T130" s="4" t="str">
        <f t="shared" si="107"/>
        <v>1+0,0129875109493958i</v>
      </c>
      <c r="U130" s="4">
        <f t="shared" si="120"/>
        <v>1.0000843341642</v>
      </c>
      <c r="V130" s="4">
        <f t="shared" si="121"/>
        <v>0.0129867807985787</v>
      </c>
      <c r="W130" t="str">
        <f t="shared" si="108"/>
        <v>1-0,00681264525247323i</v>
      </c>
      <c r="X130" s="4">
        <f t="shared" si="122"/>
        <v>1.00002320579841</v>
      </c>
      <c r="Y130" s="4">
        <f t="shared" si="123"/>
        <v>-0.00681253985893699</v>
      </c>
      <c r="Z130" t="str">
        <f t="shared" si="109"/>
        <v>0,999999858138708+0,00213782084257872i</v>
      </c>
      <c r="AA130" s="4">
        <f t="shared" si="124"/>
        <v>1.0000021432754</v>
      </c>
      <c r="AB130" s="4">
        <f t="shared" si="125"/>
        <v>0.00213781788904851</v>
      </c>
      <c r="AC130" s="67" t="str">
        <f t="shared" si="126"/>
        <v>26,6467650342375-35,7467322534137i</v>
      </c>
      <c r="AD130" s="68">
        <f t="shared" si="127"/>
        <v>32.9838993570029</v>
      </c>
      <c r="AE130" s="31">
        <f t="shared" si="128"/>
        <v>-53.2979681903457</v>
      </c>
      <c r="AF130" s="32" t="str">
        <f t="shared" si="129"/>
        <v>249,914648392112</v>
      </c>
      <c r="AG130" s="32" t="str">
        <f t="shared" si="110"/>
        <v>1+0,869699393932752i</v>
      </c>
      <c r="AH130" s="32">
        <f t="shared" si="130"/>
        <v>1.32528375671288</v>
      </c>
      <c r="AI130" s="32">
        <f t="shared" si="131"/>
        <v>0.715819988673023</v>
      </c>
      <c r="AJ130" s="32" t="str">
        <f t="shared" si="111"/>
        <v>1+0,0129875109493958i</v>
      </c>
      <c r="AK130" s="32">
        <f t="shared" si="132"/>
        <v>1.0000843341642</v>
      </c>
      <c r="AL130" s="32">
        <f t="shared" si="133"/>
        <v>0.0129867807985787</v>
      </c>
      <c r="AM130" s="32" t="str">
        <f t="shared" si="112"/>
        <v>1-0,00131430273360263i</v>
      </c>
      <c r="AN130" s="32">
        <f t="shared" si="134"/>
        <v>1.00000086369546</v>
      </c>
      <c r="AO130" s="32">
        <f t="shared" si="135"/>
        <v>-0.00131430197683155</v>
      </c>
      <c r="AP130" s="30" t="str">
        <f t="shared" si="136"/>
        <v>143,736844761271-122,090541047826i</v>
      </c>
      <c r="AQ130" s="32">
        <f t="shared" si="137"/>
        <v>45.5103967350786</v>
      </c>
      <c r="AR130" s="31">
        <f t="shared" si="138"/>
        <v>-40.3446804691248</v>
      </c>
      <c r="AS130" t="str">
        <f t="shared" si="113"/>
        <v>-0,000100699300699301</v>
      </c>
      <c r="AT130" t="str">
        <f t="shared" si="114"/>
        <v>0,000186115670301609i</v>
      </c>
      <c r="AU130">
        <f t="shared" si="139"/>
        <v>0.000186115670301609</v>
      </c>
      <c r="AV130">
        <f t="shared" si="140"/>
        <v>1.5707963267949</v>
      </c>
      <c r="AW130" t="str">
        <f t="shared" si="115"/>
        <v>1+0,00952878094948255i</v>
      </c>
      <c r="AX130">
        <f t="shared" si="141"/>
        <v>1.00004539780271</v>
      </c>
      <c r="AY130">
        <f t="shared" si="142"/>
        <v>0.00952849256816843</v>
      </c>
      <c r="AZ130" t="str">
        <f t="shared" si="116"/>
        <v>1+0,455556825393346i</v>
      </c>
      <c r="BA130">
        <f t="shared" si="143"/>
        <v>1.09887761882862</v>
      </c>
      <c r="BB130">
        <f t="shared" si="144"/>
        <v>0.427465364613342</v>
      </c>
      <c r="BC130" s="30" t="str">
        <f t="shared" si="145"/>
        <v>-0,241304960050897+0,543356957169676i</v>
      </c>
      <c r="BD130" s="32">
        <f t="shared" si="146"/>
        <v>-4.51653747293913</v>
      </c>
      <c r="BE130" s="31">
        <f t="shared" si="147"/>
        <v>113.946018871088</v>
      </c>
      <c r="BF130" s="30" t="str">
        <f t="shared" si="148"/>
        <v>12,9932390939017+23,1045689657787i</v>
      </c>
      <c r="BG130" s="68">
        <f t="shared" si="149"/>
        <v>28.4673618840637</v>
      </c>
      <c r="BH130" s="31">
        <f t="shared" si="150"/>
        <v>60.6480506807417</v>
      </c>
      <c r="BI130" s="30" t="str">
        <f t="shared" si="156"/>
        <v>31,6543312999857+107,561467732792i</v>
      </c>
      <c r="BJ130" s="68">
        <f t="shared" si="151"/>
        <v>40.9938592621394</v>
      </c>
      <c r="BK130" s="31">
        <f t="shared" si="157"/>
        <v>73.6013384019627</v>
      </c>
      <c r="BL130" s="32">
        <f t="shared" si="152"/>
        <v>28.4673618840637</v>
      </c>
      <c r="BM130" s="31">
        <f t="shared" si="153"/>
        <v>60.6480506807417</v>
      </c>
      <c r="BO130">
        <f t="shared" si="154"/>
        <v>0</v>
      </c>
      <c r="BP130">
        <f t="shared" si="155"/>
        <v>0</v>
      </c>
    </row>
    <row r="131" spans="14:68">
      <c r="N131" s="7">
        <v>13</v>
      </c>
      <c r="O131" s="18">
        <f t="shared" si="158"/>
        <v>134.896288259165</v>
      </c>
      <c r="P131" s="86" t="str">
        <f t="shared" si="105"/>
        <v>75</v>
      </c>
      <c r="Q131" s="4" t="str">
        <f t="shared" si="106"/>
        <v>1+1,38437801475898i</v>
      </c>
      <c r="R131" s="4">
        <f t="shared" si="118"/>
        <v>1.70777706031789</v>
      </c>
      <c r="S131" s="4">
        <f t="shared" si="119"/>
        <v>0.945229907192942</v>
      </c>
      <c r="T131" s="4" t="str">
        <f t="shared" si="107"/>
        <v>1+0,0132900289416862i</v>
      </c>
      <c r="U131" s="4">
        <f t="shared" si="120"/>
        <v>1.00008830853544</v>
      </c>
      <c r="V131" s="4">
        <f t="shared" si="121"/>
        <v>0.013289246574721</v>
      </c>
      <c r="W131" t="str">
        <f t="shared" si="108"/>
        <v>1-0,00697133214575057i</v>
      </c>
      <c r="X131" s="4">
        <f t="shared" si="122"/>
        <v>1.00002429944071</v>
      </c>
      <c r="Y131" s="4">
        <f t="shared" si="123"/>
        <v>-0.00697121921469004</v>
      </c>
      <c r="Z131" t="str">
        <f t="shared" si="109"/>
        <v>0,999999851452991+0,00218761708696253i</v>
      </c>
      <c r="AA131" s="4">
        <f t="shared" si="124"/>
        <v>1.00000224428474</v>
      </c>
      <c r="AB131" s="4">
        <f t="shared" si="125"/>
        <v>0.00218761392219828</v>
      </c>
      <c r="AC131" s="67" t="str">
        <f t="shared" si="126"/>
        <v>25,8654117500116-35,4976930533271i</v>
      </c>
      <c r="AD131" s="68">
        <f t="shared" si="127"/>
        <v>32.8535603261179</v>
      </c>
      <c r="AE131" s="31">
        <f t="shared" si="128"/>
        <v>-53.9210290940662</v>
      </c>
      <c r="AF131" s="32" t="str">
        <f t="shared" si="129"/>
        <v>249,914648392112</v>
      </c>
      <c r="AG131" s="32" t="str">
        <f t="shared" si="110"/>
        <v>1+0,8899572952022i</v>
      </c>
      <c r="AH131" s="32">
        <f t="shared" si="130"/>
        <v>1.33866500188943</v>
      </c>
      <c r="AI131" s="32">
        <f t="shared" si="131"/>
        <v>0.727238858018729</v>
      </c>
      <c r="AJ131" s="32" t="str">
        <f t="shared" si="111"/>
        <v>1+0,0132900289416862i</v>
      </c>
      <c r="AK131" s="32">
        <f t="shared" si="132"/>
        <v>1.00008830853544</v>
      </c>
      <c r="AL131" s="32">
        <f t="shared" si="133"/>
        <v>0.013289246574721</v>
      </c>
      <c r="AM131" s="32" t="str">
        <f t="shared" si="112"/>
        <v>1-0,001344916777031i</v>
      </c>
      <c r="AN131" s="32">
        <f t="shared" si="134"/>
        <v>1.00000090440016</v>
      </c>
      <c r="AO131" s="32">
        <f t="shared" si="135"/>
        <v>-0.00134491596613621</v>
      </c>
      <c r="AP131" s="30" t="str">
        <f t="shared" si="136"/>
        <v>140,944468232908-122,449299215637i</v>
      </c>
      <c r="AQ131" s="32">
        <f t="shared" si="137"/>
        <v>45.423170921883</v>
      </c>
      <c r="AR131" s="31">
        <f t="shared" si="138"/>
        <v>-40.983357529406</v>
      </c>
      <c r="AS131" t="str">
        <f t="shared" si="113"/>
        <v>-0,000100699300699301</v>
      </c>
      <c r="AT131" t="str">
        <f t="shared" si="114"/>
        <v>0,000190450861173271i</v>
      </c>
      <c r="AU131">
        <f t="shared" si="139"/>
        <v>0.000190450861173271</v>
      </c>
      <c r="AV131">
        <f t="shared" si="140"/>
        <v>1.5707963267949</v>
      </c>
      <c r="AW131" t="str">
        <f t="shared" si="115"/>
        <v>1+0,0097507347705838i</v>
      </c>
      <c r="AX131">
        <f t="shared" si="141"/>
        <v>1.00004753728439</v>
      </c>
      <c r="AY131">
        <f t="shared" si="142"/>
        <v>0.00975042576523177</v>
      </c>
      <c r="AZ131" t="str">
        <f t="shared" si="116"/>
        <v>1+0,466168107010676i</v>
      </c>
      <c r="BA131">
        <f t="shared" si="143"/>
        <v>1.10331894934961</v>
      </c>
      <c r="BB131">
        <f t="shared" si="144"/>
        <v>0.436217680426432</v>
      </c>
      <c r="BC131" s="30" t="str">
        <f t="shared" si="145"/>
        <v>-0,241303927566003+0,531094530718263i</v>
      </c>
      <c r="BD131" s="32">
        <f t="shared" si="146"/>
        <v>-4.68152107293187</v>
      </c>
      <c r="BE131" s="31">
        <f t="shared" si="147"/>
        <v>114.434773792618</v>
      </c>
      <c r="BF131" s="30" t="str">
        <f t="shared" si="148"/>
        <v>12,6112051903481+22,3027114685073i</v>
      </c>
      <c r="BG131" s="68">
        <f t="shared" si="149"/>
        <v>28.172039253186</v>
      </c>
      <c r="BH131" s="31">
        <f t="shared" si="150"/>
        <v>60.5137446985514</v>
      </c>
      <c r="BI131" s="30" t="str">
        <f t="shared" si="156"/>
        <v>31,0216993504065+104,402333041929i</v>
      </c>
      <c r="BJ131" s="68">
        <f t="shared" si="151"/>
        <v>40.7416498489511</v>
      </c>
      <c r="BK131" s="31">
        <f t="shared" si="157"/>
        <v>73.4514162632116</v>
      </c>
      <c r="BL131" s="32">
        <f t="shared" si="152"/>
        <v>28.172039253186</v>
      </c>
      <c r="BM131" s="31">
        <f t="shared" si="153"/>
        <v>60.5137446985514</v>
      </c>
      <c r="BO131">
        <f t="shared" si="154"/>
        <v>0</v>
      </c>
      <c r="BP131">
        <f t="shared" si="155"/>
        <v>0</v>
      </c>
    </row>
    <row r="132" spans="14:68">
      <c r="N132" s="7">
        <v>14</v>
      </c>
      <c r="O132" s="18">
        <f t="shared" si="158"/>
        <v>138.038426460289</v>
      </c>
      <c r="P132" s="86" t="str">
        <f t="shared" si="105"/>
        <v>75</v>
      </c>
      <c r="Q132" s="4" t="str">
        <f t="shared" si="106"/>
        <v>1+1,41662432117041i</v>
      </c>
      <c r="R132" s="4">
        <f t="shared" si="118"/>
        <v>1.73401974248609</v>
      </c>
      <c r="S132" s="4">
        <f t="shared" si="119"/>
        <v>0.956119292024891</v>
      </c>
      <c r="T132" s="4" t="str">
        <f t="shared" si="107"/>
        <v>1+0,013599593483236i</v>
      </c>
      <c r="U132" s="4">
        <f t="shared" si="120"/>
        <v>1.00009247019609</v>
      </c>
      <c r="V132" s="4">
        <f t="shared" si="121"/>
        <v>0.0135987551661153</v>
      </c>
      <c r="W132" t="str">
        <f t="shared" si="108"/>
        <v>1-0,00713371533160816i</v>
      </c>
      <c r="X132" s="4">
        <f t="shared" si="122"/>
        <v>1.0000254446235</v>
      </c>
      <c r="Y132" s="4">
        <f t="shared" si="123"/>
        <v>-0.00713359432396293</v>
      </c>
      <c r="Z132" t="str">
        <f t="shared" si="109"/>
        <v>0,999999844452186+0,00223857323488241i</v>
      </c>
      <c r="AA132" s="4">
        <f t="shared" si="124"/>
        <v>1.0000023500545</v>
      </c>
      <c r="AB132" s="4">
        <f t="shared" si="125"/>
        <v>0.00223856984377685</v>
      </c>
      <c r="AC132" s="67" t="str">
        <f t="shared" si="126"/>
        <v>25,0952826757913-35,2335577701696i</v>
      </c>
      <c r="AD132" s="68">
        <f t="shared" si="127"/>
        <v>32.7211482551257</v>
      </c>
      <c r="AE132" s="31">
        <f t="shared" si="128"/>
        <v>-54.5394343181276</v>
      </c>
      <c r="AF132" s="32" t="str">
        <f t="shared" si="129"/>
        <v>249,914648392112</v>
      </c>
      <c r="AG132" s="32" t="str">
        <f t="shared" si="110"/>
        <v>1+0,910687063609551i</v>
      </c>
      <c r="AH132" s="32">
        <f t="shared" si="130"/>
        <v>1.35253500059177</v>
      </c>
      <c r="AI132" s="32">
        <f t="shared" si="131"/>
        <v>0.738688278810742</v>
      </c>
      <c r="AJ132" s="32" t="str">
        <f t="shared" si="111"/>
        <v>1+0,013599593483236i</v>
      </c>
      <c r="AK132" s="32">
        <f t="shared" si="132"/>
        <v>1.00009247019609</v>
      </c>
      <c r="AL132" s="32">
        <f t="shared" si="133"/>
        <v>0.0135987551661153</v>
      </c>
      <c r="AM132" s="32" t="str">
        <f t="shared" si="112"/>
        <v>1-0,00137624391313665i</v>
      </c>
      <c r="AN132" s="32">
        <f t="shared" si="134"/>
        <v>1.00000094702321</v>
      </c>
      <c r="AO132" s="32">
        <f t="shared" si="135"/>
        <v>-0.00137624304424728</v>
      </c>
      <c r="AP132" s="30" t="str">
        <f t="shared" si="136"/>
        <v>138,137130234696-122,7449033989i</v>
      </c>
      <c r="AQ132" s="32">
        <f t="shared" si="137"/>
        <v>45.3336753731045</v>
      </c>
      <c r="AR132" s="31">
        <f t="shared" si="138"/>
        <v>-41.623422392008</v>
      </c>
      <c r="AS132" t="str">
        <f t="shared" si="113"/>
        <v>-0,000100699300699301</v>
      </c>
      <c r="AT132" t="str">
        <f t="shared" si="114"/>
        <v>0,000194887031612444i</v>
      </c>
      <c r="AU132">
        <f t="shared" si="139"/>
        <v>0.000194887031612444</v>
      </c>
      <c r="AV132">
        <f t="shared" si="140"/>
        <v>1.5707963267949</v>
      </c>
      <c r="AW132" t="str">
        <f t="shared" si="115"/>
        <v>1+0,00997785856032675i</v>
      </c>
      <c r="AX132">
        <f t="shared" si="141"/>
        <v>1.00004977759182</v>
      </c>
      <c r="AY132">
        <f t="shared" si="142"/>
        <v>0.00997752745601673</v>
      </c>
      <c r="AZ132" t="str">
        <f t="shared" si="116"/>
        <v>1+0,477026557128812i</v>
      </c>
      <c r="BA132">
        <f t="shared" si="143"/>
        <v>1.10795051162323</v>
      </c>
      <c r="BB132">
        <f t="shared" si="144"/>
        <v>0.445100526007049</v>
      </c>
      <c r="BC132" s="30" t="str">
        <f t="shared" si="145"/>
        <v>-0,241302846431065+0,51911369666781i</v>
      </c>
      <c r="BD132" s="32">
        <f t="shared" si="146"/>
        <v>-4.84515482745151</v>
      </c>
      <c r="BE132" s="31">
        <f t="shared" si="147"/>
        <v>114.930711386051</v>
      </c>
      <c r="BF132" s="30" t="str">
        <f t="shared" si="148"/>
        <v>12,2346592791709+21,529262738589i</v>
      </c>
      <c r="BG132" s="68">
        <f t="shared" si="149"/>
        <v>27.8759934276742</v>
      </c>
      <c r="BH132" s="31">
        <f t="shared" si="150"/>
        <v>60.3912770679238</v>
      </c>
      <c r="BI132" s="30" t="str">
        <f t="shared" si="156"/>
        <v>30,3856778270853+101,327570898276i</v>
      </c>
      <c r="BJ132" s="68">
        <f t="shared" si="151"/>
        <v>40.488520545653</v>
      </c>
      <c r="BK132" s="31">
        <f t="shared" si="157"/>
        <v>73.3072889940432</v>
      </c>
      <c r="BL132" s="32">
        <f t="shared" si="152"/>
        <v>27.8759934276742</v>
      </c>
      <c r="BM132" s="31">
        <f t="shared" si="153"/>
        <v>60.3912770679238</v>
      </c>
      <c r="BO132">
        <f t="shared" si="154"/>
        <v>0</v>
      </c>
      <c r="BP132">
        <f t="shared" si="155"/>
        <v>0</v>
      </c>
    </row>
    <row r="133" spans="14:68">
      <c r="N133" s="7">
        <v>15</v>
      </c>
      <c r="O133" s="18">
        <f t="shared" si="158"/>
        <v>141.253754462275</v>
      </c>
      <c r="P133" s="86" t="str">
        <f t="shared" si="105"/>
        <v>75</v>
      </c>
      <c r="Q133" s="4" t="str">
        <f t="shared" si="106"/>
        <v>1+1,44962174054815i</v>
      </c>
      <c r="R133" s="4">
        <f t="shared" si="118"/>
        <v>1.76108012045729</v>
      </c>
      <c r="S133" s="4">
        <f t="shared" si="119"/>
        <v>0.9669250509857</v>
      </c>
      <c r="T133" s="4" t="str">
        <f t="shared" si="107"/>
        <v>1+0,0139163687092623i</v>
      </c>
      <c r="U133" s="4">
        <f t="shared" si="120"/>
        <v>1.0000968279712</v>
      </c>
      <c r="V133" s="4">
        <f t="shared" si="121"/>
        <v>0.0139154704409806</v>
      </c>
      <c r="W133" t="str">
        <f t="shared" si="108"/>
        <v>1-0,00729988090776035i</v>
      </c>
      <c r="X133" s="4">
        <f t="shared" si="122"/>
        <v>1.00002664377569</v>
      </c>
      <c r="Y133" s="4">
        <f t="shared" si="123"/>
        <v>-0.00729975124591899</v>
      </c>
      <c r="Z133" t="str">
        <f t="shared" si="109"/>
        <v>0,999999837121444+0,00229071630396241i</v>
      </c>
      <c r="AA133" s="4">
        <f t="shared" si="124"/>
        <v>1.00000246080902</v>
      </c>
      <c r="AB133" s="4">
        <f t="shared" si="125"/>
        <v>0.00229071267032781</v>
      </c>
      <c r="AC133" s="67" t="str">
        <f t="shared" si="126"/>
        <v>24,3369362197374-34,9549381107865i</v>
      </c>
      <c r="AD133" s="68">
        <f t="shared" si="127"/>
        <v>32.5866940182513</v>
      </c>
      <c r="AE133" s="31">
        <f t="shared" si="128"/>
        <v>-55.1529199067188</v>
      </c>
      <c r="AF133" s="32" t="str">
        <f t="shared" si="129"/>
        <v>249,914648392112</v>
      </c>
      <c r="AG133" s="32" t="str">
        <f t="shared" si="110"/>
        <v>1+0,931899690352384i</v>
      </c>
      <c r="AH133" s="32">
        <f t="shared" si="130"/>
        <v>1.36690783627824</v>
      </c>
      <c r="AI133" s="32">
        <f t="shared" si="131"/>
        <v>0.750162315490153</v>
      </c>
      <c r="AJ133" s="32" t="str">
        <f t="shared" si="111"/>
        <v>1+0,0139163687092623i</v>
      </c>
      <c r="AK133" s="32">
        <f t="shared" si="132"/>
        <v>1.0000968279712</v>
      </c>
      <c r="AL133" s="32">
        <f t="shared" si="133"/>
        <v>0.0139154704409806</v>
      </c>
      <c r="AM133" s="32" t="str">
        <f t="shared" si="112"/>
        <v>1-0,00140830075198177i</v>
      </c>
      <c r="AN133" s="32">
        <f t="shared" si="134"/>
        <v>1.00000099165501</v>
      </c>
      <c r="AO133" s="32">
        <f t="shared" si="135"/>
        <v>-0.00140829982095008</v>
      </c>
      <c r="AP133" s="30" t="str">
        <f t="shared" si="136"/>
        <v>135,317708417-122,976581167388i</v>
      </c>
      <c r="AQ133" s="32">
        <f t="shared" si="137"/>
        <v>45.2418991930522</v>
      </c>
      <c r="AR133" s="31">
        <f t="shared" si="138"/>
        <v>-42.2645265371693</v>
      </c>
      <c r="AS133" t="str">
        <f t="shared" si="113"/>
        <v>-0,000100699300699301</v>
      </c>
      <c r="AT133" t="str">
        <f t="shared" si="114"/>
        <v>0,00019942653373541i</v>
      </c>
      <c r="AU133">
        <f t="shared" si="139"/>
        <v>0.00019942653373541</v>
      </c>
      <c r="AV133">
        <f t="shared" si="140"/>
        <v>1.5707963267949</v>
      </c>
      <c r="AW133" t="str">
        <f t="shared" si="115"/>
        <v>1+0,0102102727427508i</v>
      </c>
      <c r="AX133">
        <f t="shared" si="141"/>
        <v>1.00005212347631</v>
      </c>
      <c r="AY133">
        <f t="shared" si="142"/>
        <v>0.0102099179590893</v>
      </c>
      <c r="AZ133" t="str">
        <f t="shared" si="116"/>
        <v>1+0,488137933041725i</v>
      </c>
      <c r="BA133">
        <f t="shared" si="143"/>
        <v>1.11277969143683</v>
      </c>
      <c r="BB133">
        <f t="shared" si="144"/>
        <v>0.454113002945814</v>
      </c>
      <c r="BC133" s="30" t="str">
        <f t="shared" si="145"/>
        <v>-0,241301714354191+0,507408102553666i</v>
      </c>
      <c r="BD133" s="32">
        <f t="shared" si="146"/>
        <v>-5.0073986288702</v>
      </c>
      <c r="BE133" s="31">
        <f t="shared" si="147"/>
        <v>115.433773282577</v>
      </c>
      <c r="BF133" s="30" t="str">
        <f t="shared" si="148"/>
        <v>11,8638743897238+20,783445120504i</v>
      </c>
      <c r="BG133" s="68">
        <f t="shared" si="149"/>
        <v>27.5792953893811</v>
      </c>
      <c r="BH133" s="31">
        <f t="shared" si="150"/>
        <v>60.2808533758577</v>
      </c>
      <c r="BI133" s="30" t="str">
        <f t="shared" si="156"/>
        <v>29,7469186851786+98,3357615308883i</v>
      </c>
      <c r="BJ133" s="68">
        <f t="shared" si="151"/>
        <v>40.234500564182</v>
      </c>
      <c r="BK133" s="31">
        <f t="shared" si="157"/>
        <v>73.1692467454072</v>
      </c>
      <c r="BL133" s="32">
        <f t="shared" si="152"/>
        <v>27.5792953893811</v>
      </c>
      <c r="BM133" s="31">
        <f t="shared" si="153"/>
        <v>60.2808533758577</v>
      </c>
      <c r="BO133">
        <f t="shared" si="154"/>
        <v>0</v>
      </c>
      <c r="BP133">
        <f t="shared" si="155"/>
        <v>0</v>
      </c>
    </row>
    <row r="134" spans="14:68">
      <c r="N134" s="7">
        <v>16</v>
      </c>
      <c r="O134" s="18">
        <f t="shared" si="158"/>
        <v>144.543977074593</v>
      </c>
      <c r="P134" s="86" t="str">
        <f t="shared" si="105"/>
        <v>75</v>
      </c>
      <c r="Q134" s="4" t="str">
        <f t="shared" si="106"/>
        <v>1+1,48338776856076i</v>
      </c>
      <c r="R134" s="4">
        <f t="shared" si="118"/>
        <v>1.78897715801954</v>
      </c>
      <c r="S134" s="4">
        <f t="shared" si="119"/>
        <v>0.977642819701418</v>
      </c>
      <c r="T134" s="4" t="str">
        <f t="shared" si="107"/>
        <v>1+0,0142405225781833i</v>
      </c>
      <c r="U134" s="4">
        <f t="shared" si="120"/>
        <v>1.00010139110157</v>
      </c>
      <c r="V134" s="4">
        <f t="shared" si="121"/>
        <v>0.0142395600716483</v>
      </c>
      <c r="W134" t="str">
        <f t="shared" si="108"/>
        <v>1-0,00746991697739528i</v>
      </c>
      <c r="X134" s="4">
        <f t="shared" si="122"/>
        <v>1.00002789944064</v>
      </c>
      <c r="Y134" s="4">
        <f t="shared" si="123"/>
        <v>-0.00746977804243845</v>
      </c>
      <c r="Z134" t="str">
        <f t="shared" si="109"/>
        <v>0,999999829445214+0,00234407394114802i</v>
      </c>
      <c r="AA134" s="4">
        <f t="shared" si="124"/>
        <v>1.00000257678323</v>
      </c>
      <c r="AB134" s="4">
        <f t="shared" si="125"/>
        <v>0.00234407004763894</v>
      </c>
      <c r="AC134" s="67" t="str">
        <f t="shared" si="126"/>
        <v>23,5908892544385-34,6624671938744i</v>
      </c>
      <c r="AD134" s="68">
        <f t="shared" si="127"/>
        <v>32.450229932503</v>
      </c>
      <c r="AE134" s="31">
        <f t="shared" si="128"/>
        <v>-55.761232822276</v>
      </c>
      <c r="AF134" s="32" t="str">
        <f t="shared" si="129"/>
        <v>249,914648392112</v>
      </c>
      <c r="AG134" s="32" t="str">
        <f t="shared" si="110"/>
        <v>1+0,953606422646205i</v>
      </c>
      <c r="AH134" s="32">
        <f t="shared" si="130"/>
        <v>1.38179781781276</v>
      </c>
      <c r="AI134" s="32">
        <f t="shared" si="131"/>
        <v>0.761654967978424</v>
      </c>
      <c r="AJ134" s="32" t="str">
        <f t="shared" si="111"/>
        <v>1+0,0142405225781833i</v>
      </c>
      <c r="AK134" s="32">
        <f t="shared" si="132"/>
        <v>1.00010139110157</v>
      </c>
      <c r="AL134" s="32">
        <f t="shared" si="133"/>
        <v>0.0142395600716483</v>
      </c>
      <c r="AM134" s="32" t="str">
        <f t="shared" si="112"/>
        <v>1-0,00144110429052667i</v>
      </c>
      <c r="AN134" s="32">
        <f t="shared" si="134"/>
        <v>1.00000103839025</v>
      </c>
      <c r="AO134" s="32">
        <f t="shared" si="135"/>
        <v>-0.0014411032929083</v>
      </c>
      <c r="AP134" s="30" t="str">
        <f t="shared" si="136"/>
        <v>132,489130957976-123,143724091357i</v>
      </c>
      <c r="AQ134" s="32">
        <f t="shared" si="137"/>
        <v>45.1478338452629</v>
      </c>
      <c r="AR134" s="31">
        <f t="shared" si="138"/>
        <v>-42.9063175526332</v>
      </c>
      <c r="AS134" t="str">
        <f t="shared" si="113"/>
        <v>-0,000100699300699301</v>
      </c>
      <c r="AT134" t="str">
        <f t="shared" si="114"/>
        <v>0,000204071774446288i</v>
      </c>
      <c r="AU134">
        <f t="shared" si="139"/>
        <v>0.000204071774446288</v>
      </c>
      <c r="AV134">
        <f t="shared" si="140"/>
        <v>1.5707963267949</v>
      </c>
      <c r="AW134" t="str">
        <f t="shared" si="115"/>
        <v>1+0,0104481005469322i</v>
      </c>
      <c r="AX134">
        <f t="shared" si="141"/>
        <v>1.00005457991304</v>
      </c>
      <c r="AY134">
        <f t="shared" si="142"/>
        <v>0.0104477203905102</v>
      </c>
      <c r="AZ134" t="str">
        <f t="shared" si="116"/>
        <v>1+0,499508126148012i</v>
      </c>
      <c r="BA134">
        <f t="shared" si="143"/>
        <v>1.11781410265209</v>
      </c>
      <c r="BB134">
        <f t="shared" si="144"/>
        <v>0.463254032503539</v>
      </c>
      <c r="BC134" s="30" t="str">
        <f t="shared" si="145"/>
        <v>-0,241300528935561+0,495971541842158i</v>
      </c>
      <c r="BD134" s="32">
        <f t="shared" si="146"/>
        <v>-5.16821209522856</v>
      </c>
      <c r="BE134" s="31">
        <f t="shared" si="147"/>
        <v>115.94389062096</v>
      </c>
      <c r="BF134" s="30" t="str">
        <f t="shared" si="148"/>
        <v>11,4991032430429+20,0644813850449i</v>
      </c>
      <c r="BG134" s="68">
        <f t="shared" si="149"/>
        <v>27.2820178372745</v>
      </c>
      <c r="BH134" s="31">
        <f t="shared" si="150"/>
        <v>60.182657798684</v>
      </c>
      <c r="BI134" s="30" t="str">
        <f t="shared" si="156"/>
        <v>29,1060853274032+95,4254843168942i</v>
      </c>
      <c r="BJ134" s="68">
        <f t="shared" si="151"/>
        <v>39.9796217500344</v>
      </c>
      <c r="BK134" s="31">
        <f t="shared" si="157"/>
        <v>73.0375730683269</v>
      </c>
      <c r="BL134" s="32">
        <f t="shared" si="152"/>
        <v>27.2820178372745</v>
      </c>
      <c r="BM134" s="31">
        <f t="shared" si="153"/>
        <v>60.182657798684</v>
      </c>
      <c r="BO134">
        <f t="shared" si="154"/>
        <v>0</v>
      </c>
      <c r="BP134">
        <f t="shared" si="155"/>
        <v>0</v>
      </c>
    </row>
    <row r="135" spans="14:68">
      <c r="N135" s="7">
        <v>17</v>
      </c>
      <c r="O135" s="18">
        <f t="shared" si="158"/>
        <v>147.910838816821</v>
      </c>
      <c r="P135" s="86" t="str">
        <f t="shared" si="105"/>
        <v>75</v>
      </c>
      <c r="Q135" s="4" t="str">
        <f t="shared" si="106"/>
        <v>1+1,51794030840321i</v>
      </c>
      <c r="R135" s="4">
        <f t="shared" si="118"/>
        <v>1.81773011744737</v>
      </c>
      <c r="S135" s="4">
        <f t="shared" si="119"/>
        <v>0.988268431625649</v>
      </c>
      <c r="T135" s="4" t="str">
        <f t="shared" si="107"/>
        <v>1+0,0145722269606709i</v>
      </c>
      <c r="U135" s="4">
        <f t="shared" si="120"/>
        <v>1.00010616926334</v>
      </c>
      <c r="V135" s="4">
        <f t="shared" si="121"/>
        <v>0.0145711956222504</v>
      </c>
      <c r="W135" t="str">
        <f t="shared" si="108"/>
        <v>1-0,00764391369588762i</v>
      </c>
      <c r="X135" s="4">
        <f t="shared" si="122"/>
        <v>1.00002921428156</v>
      </c>
      <c r="Y135" s="4">
        <f t="shared" si="123"/>
        <v>-0.00764376482463409</v>
      </c>
      <c r="Z135" t="str">
        <f t="shared" si="109"/>
        <v>0,999999821407214+0,0023986744373647i</v>
      </c>
      <c r="AA135" s="4">
        <f t="shared" si="124"/>
        <v>1.00000269822312</v>
      </c>
      <c r="AB135" s="4">
        <f t="shared" si="125"/>
        <v>0.00239867026539517</v>
      </c>
      <c r="AC135" s="67" t="str">
        <f t="shared" si="126"/>
        <v>22,857616387514-34,3567963214686i</v>
      </c>
      <c r="AD135" s="68">
        <f t="shared" si="127"/>
        <v>32.3117896457482</v>
      </c>
      <c r="AE135" s="31">
        <f t="shared" si="128"/>
        <v>-56.3641312932413</v>
      </c>
      <c r="AF135" s="32" t="str">
        <f t="shared" si="129"/>
        <v>249,914648392112</v>
      </c>
      <c r="AG135" s="32" t="str">
        <f t="shared" si="110"/>
        <v>1+0,97581876968778i</v>
      </c>
      <c r="AH135" s="32">
        <f t="shared" si="130"/>
        <v>1.39721947856268</v>
      </c>
      <c r="AI135" s="32">
        <f t="shared" si="131"/>
        <v>0.773160187182662</v>
      </c>
      <c r="AJ135" s="32" t="str">
        <f t="shared" si="111"/>
        <v>1+0,0145722269606709i</v>
      </c>
      <c r="AK135" s="32">
        <f t="shared" si="132"/>
        <v>1.00010616926334</v>
      </c>
      <c r="AL135" s="32">
        <f t="shared" si="133"/>
        <v>0.0145711956222504</v>
      </c>
      <c r="AM135" s="32" t="str">
        <f t="shared" si="112"/>
        <v>1-0,00147467192164166i</v>
      </c>
      <c r="AN135" s="32">
        <f t="shared" si="134"/>
        <v>1.00000108732805</v>
      </c>
      <c r="AO135" s="32">
        <f t="shared" si="135"/>
        <v>-0.00147467085267438</v>
      </c>
      <c r="AP135" s="30" t="str">
        <f t="shared" si="136"/>
        <v>129,654364537049-123,245891624819i</v>
      </c>
      <c r="AQ135" s="32">
        <f t="shared" si="137"/>
        <v>45.0514731888104</v>
      </c>
      <c r="AR135" s="31">
        <f t="shared" si="138"/>
        <v>-43.5484400175261</v>
      </c>
      <c r="AS135" t="str">
        <f t="shared" si="113"/>
        <v>-0,000100699300699301</v>
      </c>
      <c r="AT135" t="str">
        <f t="shared" si="114"/>
        <v>0,000208825216713185i</v>
      </c>
      <c r="AU135">
        <f t="shared" si="139"/>
        <v>0.000208825216713185</v>
      </c>
      <c r="AV135">
        <f t="shared" si="140"/>
        <v>1.5707963267949</v>
      </c>
      <c r="AW135" t="str">
        <f t="shared" si="115"/>
        <v>1+0,0106914680723204i</v>
      </c>
      <c r="AX135">
        <f t="shared" si="141"/>
        <v>1.00005715211159</v>
      </c>
      <c r="AY135">
        <f t="shared" si="142"/>
        <v>0.0106910607286325</v>
      </c>
      <c r="AZ135" t="str">
        <f t="shared" si="116"/>
        <v>1+0,511143165074551i</v>
      </c>
      <c r="BA135">
        <f t="shared" si="143"/>
        <v>1.12306159011981</v>
      </c>
      <c r="BB135">
        <f t="shared" si="144"/>
        <v>0.47252234993868</v>
      </c>
      <c r="BC135" s="30" t="str">
        <f t="shared" si="145"/>
        <v>-0,241299287662355+0,484797950639513i</v>
      </c>
      <c r="BD135" s="32">
        <f t="shared" si="146"/>
        <v>-5.32755464221129</v>
      </c>
      <c r="BE135" s="31">
        <f t="shared" si="147"/>
        <v>116.460983718821</v>
      </c>
      <c r="BF135" s="30" t="str">
        <f t="shared" si="148"/>
        <v>11,1405778952206+19,3715960599019i</v>
      </c>
      <c r="BG135" s="68">
        <f t="shared" si="149"/>
        <v>26.9842350035369</v>
      </c>
      <c r="BH135" s="31">
        <f t="shared" si="150"/>
        <v>60.0968524255801</v>
      </c>
      <c r="BI135" s="30" t="str">
        <f t="shared" si="156"/>
        <v>28,4638498793465+92,5953160754103i</v>
      </c>
      <c r="BJ135" s="68">
        <f t="shared" si="151"/>
        <v>39.7239185465991</v>
      </c>
      <c r="BK135" s="31">
        <f t="shared" si="157"/>
        <v>72.9125437012953</v>
      </c>
      <c r="BL135" s="32">
        <f t="shared" si="152"/>
        <v>26.9842350035369</v>
      </c>
      <c r="BM135" s="31">
        <f t="shared" si="153"/>
        <v>60.0968524255801</v>
      </c>
      <c r="BO135">
        <f t="shared" si="154"/>
        <v>0</v>
      </c>
      <c r="BP135">
        <f t="shared" si="155"/>
        <v>0</v>
      </c>
    </row>
    <row r="136" spans="14:68">
      <c r="N136" s="7">
        <v>18</v>
      </c>
      <c r="O136" s="18">
        <f t="shared" si="158"/>
        <v>151.356124843621</v>
      </c>
      <c r="P136" s="86" t="str">
        <f t="shared" si="105"/>
        <v>75</v>
      </c>
      <c r="Q136" s="4" t="str">
        <f t="shared" si="106"/>
        <v>1+1,55329768028949i</v>
      </c>
      <c r="R136" s="4">
        <f t="shared" si="118"/>
        <v>1.84735856930719</v>
      </c>
      <c r="S136" s="4">
        <f t="shared" si="119"/>
        <v>0.998797923143046</v>
      </c>
      <c r="T136" s="4" t="str">
        <f t="shared" si="107"/>
        <v>1+0,0149116577307792i</v>
      </c>
      <c r="U136" s="4">
        <f t="shared" si="120"/>
        <v>1.00011117258847</v>
      </c>
      <c r="V136" s="4">
        <f t="shared" si="121"/>
        <v>0.0149105526383859</v>
      </c>
      <c r="W136" t="str">
        <f t="shared" si="108"/>
        <v>1-0,00782196331860068i</v>
      </c>
      <c r="X136" s="4">
        <f t="shared" si="122"/>
        <v>1.00003059108717</v>
      </c>
      <c r="Y136" s="4">
        <f t="shared" si="123"/>
        <v>-0.00782180380044207</v>
      </c>
      <c r="Z136" t="str">
        <f t="shared" si="109"/>
        <v>0,999999812990396+0,00245454674251827i</v>
      </c>
      <c r="AA136" s="4">
        <f t="shared" si="124"/>
        <v>1.00000282538628</v>
      </c>
      <c r="AB136" s="4">
        <f t="shared" si="125"/>
        <v>0.00245454227217306</v>
      </c>
      <c r="AC136" s="67" t="str">
        <f t="shared" si="126"/>
        <v>22,137549512305-34,0385917653403i</v>
      </c>
      <c r="AD136" s="68">
        <f t="shared" si="127"/>
        <v>32.1714080232224</v>
      </c>
      <c r="AE136" s="31">
        <f t="shared" si="128"/>
        <v>-56.9613851049179</v>
      </c>
      <c r="AF136" s="32" t="str">
        <f t="shared" si="129"/>
        <v>249,914648392112</v>
      </c>
      <c r="AG136" s="32" t="str">
        <f t="shared" si="110"/>
        <v>1+0,998548508757532i</v>
      </c>
      <c r="AH136" s="32">
        <f t="shared" si="130"/>
        <v>1.41318757578104</v>
      </c>
      <c r="AI136" s="32">
        <f t="shared" si="131"/>
        <v>0.784671890814671</v>
      </c>
      <c r="AJ136" s="32" t="str">
        <f t="shared" si="111"/>
        <v>1+0,0149116577307792i</v>
      </c>
      <c r="AK136" s="32">
        <f t="shared" si="132"/>
        <v>1.00011117258847</v>
      </c>
      <c r="AL136" s="32">
        <f t="shared" si="133"/>
        <v>0.0149105526383859</v>
      </c>
      <c r="AM136" s="32" t="str">
        <f t="shared" si="112"/>
        <v>1-0,00150902144332911i</v>
      </c>
      <c r="AN136" s="32">
        <f t="shared" si="134"/>
        <v>1.00000113857221</v>
      </c>
      <c r="AO136" s="32">
        <f t="shared" si="135"/>
        <v>-0.0015090202979101</v>
      </c>
      <c r="AP136" s="30" t="str">
        <f t="shared" si="136"/>
        <v>126,816401965639-123,282813933479i</v>
      </c>
      <c r="AQ136" s="32">
        <f t="shared" si="137"/>
        <v>44.9528135047176</v>
      </c>
      <c r="AR136" s="31">
        <f t="shared" si="138"/>
        <v>-44.1905364041134</v>
      </c>
      <c r="AS136" t="str">
        <f t="shared" si="113"/>
        <v>-0,000100699300699301</v>
      </c>
      <c r="AT136" t="str">
        <f t="shared" si="114"/>
        <v>0,000213689380874112i</v>
      </c>
      <c r="AU136">
        <f t="shared" si="139"/>
        <v>0.000213689380874112</v>
      </c>
      <c r="AV136">
        <f t="shared" si="140"/>
        <v>1.5707963267949</v>
      </c>
      <c r="AW136" t="str">
        <f t="shared" si="115"/>
        <v>1+0,0109405043555989i</v>
      </c>
      <c r="AX136">
        <f t="shared" si="141"/>
        <v>1.00005984552703</v>
      </c>
      <c r="AY136">
        <f t="shared" si="142"/>
        <v>0.0109400678803842</v>
      </c>
      <c r="AZ136" t="str">
        <f t="shared" si="116"/>
        <v>1+0,523049218872993i</v>
      </c>
      <c r="BA136">
        <f t="shared" si="143"/>
        <v>1.12853023236582</v>
      </c>
      <c r="BB136">
        <f t="shared" si="144"/>
        <v>0.481916499199138</v>
      </c>
      <c r="BC136" s="30" t="str">
        <f t="shared" si="145"/>
        <v>-0,241297987903434+0,473881404476285i</v>
      </c>
      <c r="BD136" s="32">
        <f t="shared" si="146"/>
        <v>-5.48538556003675</v>
      </c>
      <c r="BE136" s="31">
        <f t="shared" si="147"/>
        <v>116.984961764698</v>
      </c>
      <c r="BF136" s="30" t="str">
        <f t="shared" si="148"/>
        <v>10,7885095177225+18,7040167585974i</v>
      </c>
      <c r="BG136" s="68">
        <f t="shared" si="149"/>
        <v>26.6860224631857</v>
      </c>
      <c r="BH136" s="31">
        <f t="shared" si="150"/>
        <v>60.0235766597798</v>
      </c>
      <c r="BI136" s="30" t="str">
        <f t="shared" si="156"/>
        <v>27,8208903871238+89,843829619328i</v>
      </c>
      <c r="BJ136" s="68">
        <f t="shared" si="151"/>
        <v>39.4674279446809</v>
      </c>
      <c r="BK136" s="31">
        <f t="shared" si="157"/>
        <v>72.7944253605842</v>
      </c>
      <c r="BL136" s="32">
        <f t="shared" si="152"/>
        <v>26.6860224631857</v>
      </c>
      <c r="BM136" s="31">
        <f t="shared" si="153"/>
        <v>60.0235766597798</v>
      </c>
      <c r="BO136">
        <f t="shared" si="154"/>
        <v>0</v>
      </c>
      <c r="BP136">
        <f t="shared" si="155"/>
        <v>0</v>
      </c>
    </row>
    <row r="137" spans="14:68">
      <c r="N137" s="7">
        <v>19</v>
      </c>
      <c r="O137" s="18">
        <f t="shared" si="158"/>
        <v>154.881661891248</v>
      </c>
      <c r="P137" s="86" t="str">
        <f t="shared" si="105"/>
        <v>75</v>
      </c>
      <c r="Q137" s="4" t="str">
        <f t="shared" si="106"/>
        <v>1+1,58947863116619i</v>
      </c>
      <c r="R137" s="4">
        <f t="shared" si="118"/>
        <v>1.87788240285007</v>
      </c>
      <c r="S137" s="4">
        <f t="shared" si="119"/>
        <v>1.00922753768878</v>
      </c>
      <c r="T137" s="4" t="str">
        <f t="shared" si="107"/>
        <v>1+0,0152589948591954i</v>
      </c>
      <c r="U137" s="4">
        <f t="shared" si="120"/>
        <v>1.00011641168622</v>
      </c>
      <c r="V137" s="4">
        <f t="shared" si="121"/>
        <v>0.0152578107388058</v>
      </c>
      <c r="W137" t="str">
        <f t="shared" si="108"/>
        <v>1-0,00800416024980116i</v>
      </c>
      <c r="X137" s="4">
        <f t="shared" si="122"/>
        <v>1.0000320327776</v>
      </c>
      <c r="Y137" s="4">
        <f t="shared" si="123"/>
        <v>-0.00800398932331038</v>
      </c>
      <c r="Z137" t="str">
        <f t="shared" si="109"/>
        <v>0,999999804176905+0,0025117204808445i</v>
      </c>
      <c r="AA137" s="4">
        <f t="shared" si="124"/>
        <v>1.00000295854243</v>
      </c>
      <c r="AB137" s="4">
        <f t="shared" si="125"/>
        <v>0.00251171569078407</v>
      </c>
      <c r="AC137" s="67" t="str">
        <f t="shared" si="126"/>
        <v>21,4310776294661-33,7085315943248i</v>
      </c>
      <c r="AD137" s="68">
        <f t="shared" si="127"/>
        <v>32.0291210332133</v>
      </c>
      <c r="AE137" s="31">
        <f t="shared" si="128"/>
        <v>-57.5527758339166</v>
      </c>
      <c r="AF137" s="32" t="str">
        <f t="shared" si="129"/>
        <v>249,914648392112</v>
      </c>
      <c r="AG137" s="32" t="str">
        <f t="shared" si="110"/>
        <v>1+1,02180769146398i</v>
      </c>
      <c r="AH137" s="32">
        <f t="shared" si="130"/>
        <v>1.42971709031366</v>
      </c>
      <c r="AI137" s="32">
        <f t="shared" si="131"/>
        <v>0.796183979423416</v>
      </c>
      <c r="AJ137" s="32" t="str">
        <f t="shared" si="111"/>
        <v>1+0,0152589948591954i</v>
      </c>
      <c r="AK137" s="32">
        <f t="shared" si="132"/>
        <v>1.00011641168622</v>
      </c>
      <c r="AL137" s="32">
        <f t="shared" si="133"/>
        <v>0.0152578107388058</v>
      </c>
      <c r="AM137" s="32" t="str">
        <f t="shared" si="112"/>
        <v>1-0,00154417106816006i</v>
      </c>
      <c r="AN137" s="32">
        <f t="shared" si="134"/>
        <v>1.00000119223143</v>
      </c>
      <c r="AO137" s="32">
        <f t="shared" si="135"/>
        <v>-0.00154416984082156</v>
      </c>
      <c r="AP137" s="30" t="str">
        <f t="shared" si="136"/>
        <v>123,978249583997-123,254393633673i</v>
      </c>
      <c r="AQ137" s="32">
        <f t="shared" si="137"/>
        <v>44.8518535122438</v>
      </c>
      <c r="AR137" s="31">
        <f t="shared" si="138"/>
        <v>-44.8322479916801</v>
      </c>
      <c r="AS137" t="str">
        <f t="shared" si="113"/>
        <v>-0,000100699300699301</v>
      </c>
      <c r="AT137" t="str">
        <f t="shared" si="114"/>
        <v>0,000218666845973291i</v>
      </c>
      <c r="AU137">
        <f t="shared" si="139"/>
        <v>0.000218666845973291</v>
      </c>
      <c r="AV137">
        <f t="shared" si="140"/>
        <v>1.5707963267949</v>
      </c>
      <c r="AW137" t="str">
        <f t="shared" si="115"/>
        <v>1+0,0111953414391014i</v>
      </c>
      <c r="AX137">
        <f t="shared" si="141"/>
        <v>1.00006266587146</v>
      </c>
      <c r="AY137">
        <f t="shared" si="142"/>
        <v>0.0111948737490654</v>
      </c>
      <c r="AZ137" t="str">
        <f t="shared" si="116"/>
        <v>1+0,535232600290655i</v>
      </c>
      <c r="BA137">
        <f t="shared" si="143"/>
        <v>1.13422834403567</v>
      </c>
      <c r="BB137">
        <f t="shared" si="144"/>
        <v>0.49143482803228</v>
      </c>
      <c r="BC137" s="30" t="str">
        <f t="shared" si="145"/>
        <v>-0,24129662690377+0,46321611516575i</v>
      </c>
      <c r="BD137" s="32">
        <f t="shared" si="146"/>
        <v>-5.64166409516889</v>
      </c>
      <c r="BE137" s="31">
        <f t="shared" si="147"/>
        <v>117.515722533984</v>
      </c>
      <c r="BF137" s="30" t="str">
        <f t="shared" si="148"/>
        <v>10,4430883101621+18,0609754949266i</v>
      </c>
      <c r="BG137" s="68">
        <f t="shared" si="149"/>
        <v>26.3874569380444</v>
      </c>
      <c r="BH137" s="31">
        <f t="shared" si="150"/>
        <v>59.962946700067</v>
      </c>
      <c r="BI137" s="30" t="str">
        <f t="shared" si="156"/>
        <v>27,177887962048+87,1695925722236i</v>
      </c>
      <c r="BJ137" s="68">
        <f t="shared" si="151"/>
        <v>39.210189417075</v>
      </c>
      <c r="BK137" s="31">
        <f t="shared" si="157"/>
        <v>72.6834745423037</v>
      </c>
      <c r="BL137" s="32">
        <f t="shared" si="152"/>
        <v>26.3874569380444</v>
      </c>
      <c r="BM137" s="31">
        <f t="shared" si="153"/>
        <v>59.962946700067</v>
      </c>
      <c r="BO137">
        <f t="shared" si="154"/>
        <v>0</v>
      </c>
      <c r="BP137">
        <f t="shared" si="155"/>
        <v>0</v>
      </c>
    </row>
    <row r="138" spans="14:68">
      <c r="N138" s="7">
        <v>20</v>
      </c>
      <c r="O138" s="18">
        <f t="shared" si="158"/>
        <v>158.489319246112</v>
      </c>
      <c r="P138" s="86" t="str">
        <f t="shared" si="105"/>
        <v>75</v>
      </c>
      <c r="Q138" s="4" t="str">
        <f t="shared" si="106"/>
        <v>1+1,62650234465237i</v>
      </c>
      <c r="R138" s="4">
        <f t="shared" si="118"/>
        <v>1.90932183697764</v>
      </c>
      <c r="S138" s="4">
        <f t="shared" si="119"/>
        <v>1.01955372890043</v>
      </c>
      <c r="T138" s="4" t="str">
        <f t="shared" si="107"/>
        <v>1+0,0156144225086628i</v>
      </c>
      <c r="U138" s="4">
        <f t="shared" si="120"/>
        <v>1.00012189766562</v>
      </c>
      <c r="V138" s="4">
        <f t="shared" si="121"/>
        <v>0.0156131537091577</v>
      </c>
      <c r="W138" t="str">
        <f t="shared" si="108"/>
        <v>1-0,00819060109271374i</v>
      </c>
      <c r="X138" s="4">
        <f t="shared" si="122"/>
        <v>1.00003354241058</v>
      </c>
      <c r="Y138" s="4">
        <f t="shared" si="123"/>
        <v>-0.00819041794201087</v>
      </c>
      <c r="Z138" t="str">
        <f t="shared" si="109"/>
        <v>0,999999794948046+0,00257022596661623i</v>
      </c>
      <c r="AA138" s="4">
        <f t="shared" si="124"/>
        <v>1.00000309797403</v>
      </c>
      <c r="AB138" s="4">
        <f t="shared" si="125"/>
        <v>0.00257022083397486</v>
      </c>
      <c r="AC138" s="67" t="str">
        <f t="shared" si="126"/>
        <v>20,7385469277946-33,3673025667495i</v>
      </c>
      <c r="AD138" s="68">
        <f t="shared" si="127"/>
        <v>31.8849656326272</v>
      </c>
      <c r="AE138" s="31">
        <f t="shared" si="128"/>
        <v>-58.138097027125</v>
      </c>
      <c r="AF138" s="32" t="str">
        <f t="shared" si="129"/>
        <v>249,914648392112</v>
      </c>
      <c r="AG138" s="32" t="str">
        <f t="shared" si="110"/>
        <v>1+1,04560865013367i</v>
      </c>
      <c r="AH138" s="32">
        <f t="shared" si="130"/>
        <v>1.44682322667089</v>
      </c>
      <c r="AI138" s="32">
        <f t="shared" si="131"/>
        <v>0.807690352538185</v>
      </c>
      <c r="AJ138" s="32" t="str">
        <f t="shared" si="111"/>
        <v>1+0,0156144225086628i</v>
      </c>
      <c r="AK138" s="32">
        <f t="shared" si="132"/>
        <v>1.00012189766562</v>
      </c>
      <c r="AL138" s="32">
        <f t="shared" si="133"/>
        <v>0.0156131537091577</v>
      </c>
      <c r="AM138" s="32" t="str">
        <f t="shared" si="112"/>
        <v>1-0,00158013943293089i</v>
      </c>
      <c r="AN138" s="32">
        <f t="shared" si="134"/>
        <v>1.00000124841953</v>
      </c>
      <c r="AO138" s="32">
        <f t="shared" si="135"/>
        <v>-0.00158013811781408</v>
      </c>
      <c r="AP138" s="30" t="str">
        <f t="shared" si="136"/>
        <v>121,14291453653-123,160706421493i</v>
      </c>
      <c r="AQ138" s="32">
        <f t="shared" si="137"/>
        <v>44.7485943748985</v>
      </c>
      <c r="AR138" s="31">
        <f t="shared" si="138"/>
        <v>-45.4732157866463</v>
      </c>
      <c r="AS138" t="str">
        <f t="shared" si="113"/>
        <v>-0,000100699300699301</v>
      </c>
      <c r="AT138" t="str">
        <f t="shared" si="114"/>
        <v>0,000223760251128605i</v>
      </c>
      <c r="AU138">
        <f t="shared" si="139"/>
        <v>0.000223760251128605</v>
      </c>
      <c r="AV138">
        <f t="shared" si="140"/>
        <v>1.5707963267949</v>
      </c>
      <c r="AW138" t="str">
        <f t="shared" si="115"/>
        <v>1+0,0114561144408228i</v>
      </c>
      <c r="AX138">
        <f t="shared" si="141"/>
        <v>1.00006561912611</v>
      </c>
      <c r="AY138">
        <f t="shared" si="142"/>
        <v>0.0114556133036962</v>
      </c>
      <c r="AZ138" t="str">
        <f t="shared" si="116"/>
        <v>1+0,547699769117636i</v>
      </c>
      <c r="BA138">
        <f t="shared" si="143"/>
        <v>1.14016447808705</v>
      </c>
      <c r="BB138">
        <f t="shared" si="144"/>
        <v>0.501075483568181</v>
      </c>
      <c r="BC138" s="30" t="str">
        <f t="shared" si="145"/>
        <v>-0,241295201778622+0,452796427734486i</v>
      </c>
      <c r="BD138" s="32">
        <f t="shared" si="146"/>
        <v>-5.79634953671862</v>
      </c>
      <c r="BE138" s="31">
        <f t="shared" si="147"/>
        <v>118.053152131898</v>
      </c>
      <c r="BF138" s="30" t="str">
        <f t="shared" si="148"/>
        <v>10,1044835398223+17,4417099709615i</v>
      </c>
      <c r="BG138" s="68">
        <f t="shared" si="149"/>
        <v>26.0886160959085</v>
      </c>
      <c r="BH138" s="31">
        <f t="shared" si="150"/>
        <v>59.9150551047729</v>
      </c>
      <c r="BI138" s="30" t="str">
        <f t="shared" si="156"/>
        <v>26,5355238977654+84,5711664546567i</v>
      </c>
      <c r="BJ138" s="68">
        <f t="shared" si="151"/>
        <v>38.9522448381799</v>
      </c>
      <c r="BK138" s="31">
        <f t="shared" si="157"/>
        <v>72.5799363452516</v>
      </c>
      <c r="BL138" s="32">
        <f t="shared" si="152"/>
        <v>26.0886160959085</v>
      </c>
      <c r="BM138" s="31">
        <f t="shared" si="153"/>
        <v>59.9150551047729</v>
      </c>
      <c r="BO138">
        <f t="shared" si="154"/>
        <v>0</v>
      </c>
      <c r="BP138">
        <f t="shared" si="155"/>
        <v>0</v>
      </c>
    </row>
    <row r="139" spans="14:68">
      <c r="N139" s="7">
        <v>21</v>
      </c>
      <c r="O139" s="18">
        <f t="shared" si="158"/>
        <v>162.181009735893</v>
      </c>
      <c r="P139" s="86" t="str">
        <f t="shared" si="105"/>
        <v>75</v>
      </c>
      <c r="Q139" s="4" t="str">
        <f t="shared" si="106"/>
        <v>1+1,66438845121098i</v>
      </c>
      <c r="R139" s="4">
        <f t="shared" si="118"/>
        <v>1.94169743176543</v>
      </c>
      <c r="S139" s="4">
        <f t="shared" si="119"/>
        <v>1.02977316282578</v>
      </c>
      <c r="T139" s="4" t="str">
        <f t="shared" si="107"/>
        <v>1+0,0159781291316254i</v>
      </c>
      <c r="U139" s="4">
        <f t="shared" si="120"/>
        <v>1.00012764215901</v>
      </c>
      <c r="V139" s="4">
        <f t="shared" si="121"/>
        <v>0.0159767695978323</v>
      </c>
      <c r="W139" t="str">
        <f t="shared" si="108"/>
        <v>1-0,00838138470074101i</v>
      </c>
      <c r="X139" s="4">
        <f t="shared" si="122"/>
        <v>1.00003512318793</v>
      </c>
      <c r="Y139" s="4">
        <f t="shared" si="123"/>
        <v>-0.00838118845159938</v>
      </c>
      <c r="Z139" t="str">
        <f t="shared" si="109"/>
        <v>0,999999785284246+0,0026300942202164i</v>
      </c>
      <c r="AA139" s="4">
        <f t="shared" si="124"/>
        <v>1.00000324397681</v>
      </c>
      <c r="AB139" s="4">
        <f t="shared" si="125"/>
        <v>0.00263008872049305</v>
      </c>
      <c r="AC139" s="67" t="str">
        <f t="shared" si="126"/>
        <v>20,0602611104543-33,0155971100621i</v>
      </c>
      <c r="AD139" s="68">
        <f t="shared" si="127"/>
        <v>31.7389796531145</v>
      </c>
      <c r="AE139" s="31">
        <f t="shared" si="128"/>
        <v>-58.7171543265563</v>
      </c>
      <c r="AF139" s="32" t="str">
        <f t="shared" si="129"/>
        <v>249,914648392112</v>
      </c>
      <c r="AG139" s="32" t="str">
        <f t="shared" si="110"/>
        <v>1+1,06996400434991i</v>
      </c>
      <c r="AH139" s="32">
        <f t="shared" si="130"/>
        <v>1.46452141350152</v>
      </c>
      <c r="AI139" s="32">
        <f t="shared" si="131"/>
        <v>0.819184924818321</v>
      </c>
      <c r="AJ139" s="32" t="str">
        <f t="shared" si="111"/>
        <v>1+0,0159781291316254i</v>
      </c>
      <c r="AK139" s="32">
        <f t="shared" si="132"/>
        <v>1.00012764215901</v>
      </c>
      <c r="AL139" s="32">
        <f t="shared" si="133"/>
        <v>0.0159767695978323</v>
      </c>
      <c r="AM139" s="32" t="str">
        <f t="shared" si="112"/>
        <v>1-0,00161694560854465i</v>
      </c>
      <c r="AN139" s="32">
        <f t="shared" si="134"/>
        <v>1.0000013072557</v>
      </c>
      <c r="AO139" s="32">
        <f t="shared" si="135"/>
        <v>-0.0016169441993717</v>
      </c>
      <c r="AP139" s="30" t="str">
        <f t="shared" si="136"/>
        <v>118,313392039904-123,002000584571i</v>
      </c>
      <c r="AQ139" s="32">
        <f t="shared" si="137"/>
        <v>44.6430396961329</v>
      </c>
      <c r="AR139" s="31">
        <f t="shared" si="138"/>
        <v>-46.1130814429549</v>
      </c>
      <c r="AS139" t="str">
        <f t="shared" si="113"/>
        <v>-0,000100699300699301</v>
      </c>
      <c r="AT139" t="str">
        <f t="shared" si="114"/>
        <v>0,000228972296930882i</v>
      </c>
      <c r="AU139">
        <f t="shared" si="139"/>
        <v>0.000228972296930882</v>
      </c>
      <c r="AV139">
        <f t="shared" si="140"/>
        <v>1.5707963267949</v>
      </c>
      <c r="AW139" t="str">
        <f t="shared" si="115"/>
        <v>1+0,0117229616260603i</v>
      </c>
      <c r="AX139">
        <f t="shared" si="141"/>
        <v>1.000068711554</v>
      </c>
      <c r="AY139">
        <f t="shared" si="142"/>
        <v>0.0117224246499472</v>
      </c>
      <c r="AZ139" t="str">
        <f t="shared" si="116"/>
        <v>1+0,56045733561186i</v>
      </c>
      <c r="BA139">
        <f t="shared" si="143"/>
        <v>1.14634742772039</v>
      </c>
      <c r="BB139">
        <f t="shared" si="144"/>
        <v>0.510836408431444</v>
      </c>
      <c r="BC139" s="30" t="str">
        <f t="shared" si="145"/>
        <v>-0,241293709507438+0,442616817423607i</v>
      </c>
      <c r="BD139" s="32">
        <f t="shared" si="146"/>
        <v>-5.94940130735187</v>
      </c>
      <c r="BE139" s="31">
        <f t="shared" si="147"/>
        <v>118.597124766641</v>
      </c>
      <c r="BF139" s="30" t="str">
        <f t="shared" si="148"/>
        <v>9,77284370116641+16,8454648276858i</v>
      </c>
      <c r="BG139" s="68">
        <f t="shared" si="149"/>
        <v>25.7895783457627</v>
      </c>
      <c r="BH139" s="31">
        <f t="shared" si="150"/>
        <v>59.8799704400845</v>
      </c>
      <c r="BI139" s="30" t="str">
        <f t="shared" si="156"/>
        <v>25,8944767857632+82,047106041181i</v>
      </c>
      <c r="BJ139" s="68">
        <f t="shared" si="151"/>
        <v>38.693638388781</v>
      </c>
      <c r="BK139" s="31">
        <f t="shared" si="157"/>
        <v>72.484043323686</v>
      </c>
      <c r="BL139" s="32">
        <f t="shared" si="152"/>
        <v>25.7895783457627</v>
      </c>
      <c r="BM139" s="31">
        <f t="shared" si="153"/>
        <v>59.8799704400845</v>
      </c>
      <c r="BO139">
        <f t="shared" si="154"/>
        <v>0</v>
      </c>
      <c r="BP139">
        <f t="shared" si="155"/>
        <v>0</v>
      </c>
    </row>
    <row r="140" spans="14:68">
      <c r="N140" s="7">
        <v>22</v>
      </c>
      <c r="O140" s="18">
        <f t="shared" si="158"/>
        <v>165.958690743756</v>
      </c>
      <c r="P140" s="86" t="str">
        <f t="shared" si="105"/>
        <v>75</v>
      </c>
      <c r="Q140" s="4" t="str">
        <f t="shared" si="106"/>
        <v>1+1,70315703855722i</v>
      </c>
      <c r="R140" s="4">
        <f t="shared" si="118"/>
        <v>1.97503010052682</v>
      </c>
      <c r="S140" s="4">
        <f t="shared" si="119"/>
        <v>1.0398827192165</v>
      </c>
      <c r="T140" s="4" t="str">
        <f t="shared" si="107"/>
        <v>1+0,0163503075701493i</v>
      </c>
      <c r="U140" s="4">
        <f t="shared" si="120"/>
        <v>1.00013365734668</v>
      </c>
      <c r="V140" s="4">
        <f t="shared" si="121"/>
        <v>0.0163488508139582</v>
      </c>
      <c r="W140" t="str">
        <f t="shared" si="108"/>
        <v>1-0,00857661222987743i</v>
      </c>
      <c r="X140" s="4">
        <f t="shared" si="122"/>
        <v>1.00003677846234</v>
      </c>
      <c r="Y140" s="4">
        <f t="shared" si="123"/>
        <v>-0.00857640194555122</v>
      </c>
      <c r="Z140" t="str">
        <f t="shared" si="109"/>
        <v>0,999999775165004+0,00269135698458557i</v>
      </c>
      <c r="AA140" s="4">
        <f t="shared" si="124"/>
        <v>1.00000339686047</v>
      </c>
      <c r="AB140" s="4">
        <f t="shared" si="125"/>
        <v>0.0026913510915269</v>
      </c>
      <c r="AC140" s="67" t="str">
        <f t="shared" si="126"/>
        <v>19,3964819509391-32,6541104075155i</v>
      </c>
      <c r="AD140" s="68">
        <f t="shared" si="127"/>
        <v>31.5912016883917</v>
      </c>
      <c r="AE140" s="31">
        <f t="shared" si="128"/>
        <v>-59.2897655417848</v>
      </c>
      <c r="AF140" s="32" t="str">
        <f t="shared" si="129"/>
        <v>249,914648392112</v>
      </c>
      <c r="AG140" s="32" t="str">
        <f t="shared" si="110"/>
        <v>1+1,09488666764393i</v>
      </c>
      <c r="AH140" s="32">
        <f t="shared" si="130"/>
        <v>1.48282730450462</v>
      </c>
      <c r="AI140" s="32">
        <f t="shared" si="131"/>
        <v>0.830661642105411</v>
      </c>
      <c r="AJ140" s="32" t="str">
        <f t="shared" si="111"/>
        <v>1+0,0163503075701493i</v>
      </c>
      <c r="AK140" s="32">
        <f t="shared" si="132"/>
        <v>1.00013365734668</v>
      </c>
      <c r="AL140" s="32">
        <f t="shared" si="133"/>
        <v>0.0163488508139582</v>
      </c>
      <c r="AM140" s="32" t="str">
        <f t="shared" si="112"/>
        <v>1-0,00165460911012289i</v>
      </c>
      <c r="AN140" s="32">
        <f t="shared" si="134"/>
        <v>1.00000136886472</v>
      </c>
      <c r="AO140" s="32">
        <f t="shared" si="135"/>
        <v>-0.00165460760016698</v>
      </c>
      <c r="AP140" s="30" t="str">
        <f t="shared" si="136"/>
        <v>115,492652758277-122,778695402353i</v>
      </c>
      <c r="AQ140" s="32">
        <f t="shared" si="137"/>
        <v>44.5351955047482</v>
      </c>
      <c r="AR140" s="31">
        <f t="shared" si="138"/>
        <v>-46.7514881767575</v>
      </c>
      <c r="AS140" t="str">
        <f t="shared" si="113"/>
        <v>-0,000100699300699301</v>
      </c>
      <c r="AT140" t="str">
        <f t="shared" si="114"/>
        <v>0,0002343057468758i</v>
      </c>
      <c r="AU140">
        <f t="shared" si="139"/>
        <v>0.0002343057468758</v>
      </c>
      <c r="AV140">
        <f t="shared" si="140"/>
        <v>1.5707963267949</v>
      </c>
      <c r="AW140" t="str">
        <f t="shared" si="115"/>
        <v>1+0,0119960244807237i</v>
      </c>
      <c r="AX140">
        <f t="shared" si="141"/>
        <v>1.00007194971329</v>
      </c>
      <c r="AY140">
        <f t="shared" si="142"/>
        <v>0.0119954491026878</v>
      </c>
      <c r="AZ140" t="str">
        <f t="shared" si="116"/>
        <v>1+0,573512064003961i</v>
      </c>
      <c r="BA140">
        <f t="shared" si="143"/>
        <v>1.15278622803974</v>
      </c>
      <c r="BB140">
        <f t="shared" si="144"/>
        <v>0.520715337436974</v>
      </c>
      <c r="BC140" s="30" t="str">
        <f t="shared" si="145"/>
        <v>-0,241292146927463+0,432671886758932i</v>
      </c>
      <c r="BD140" s="32">
        <f t="shared" si="146"/>
        <v>-6.10077905847483</v>
      </c>
      <c r="BE140" s="31">
        <f t="shared" si="147"/>
        <v>119.147502555921</v>
      </c>
      <c r="BF140" s="30" t="str">
        <f t="shared" si="148"/>
        <v>9,44829678767233+16,2714928484342i</v>
      </c>
      <c r="BG140" s="68">
        <f t="shared" si="149"/>
        <v>25.4904226299168</v>
      </c>
      <c r="BH140" s="31">
        <f t="shared" si="150"/>
        <v>59.8577370141362</v>
      </c>
      <c r="BI140" s="30" t="str">
        <f t="shared" si="156"/>
        <v>25,2554196551436+79,5959589863047i</v>
      </c>
      <c r="BJ140" s="68">
        <f t="shared" si="151"/>
        <v>38.4344164462734</v>
      </c>
      <c r="BK140" s="31">
        <f t="shared" si="157"/>
        <v>72.3960143791636</v>
      </c>
      <c r="BL140" s="32">
        <f t="shared" si="152"/>
        <v>25.4904226299168</v>
      </c>
      <c r="BM140" s="31">
        <f t="shared" si="153"/>
        <v>59.8577370141362</v>
      </c>
      <c r="BO140">
        <f t="shared" si="154"/>
        <v>0</v>
      </c>
      <c r="BP140">
        <f t="shared" si="155"/>
        <v>0</v>
      </c>
    </row>
    <row r="141" spans="14:68">
      <c r="N141" s="7">
        <v>23</v>
      </c>
      <c r="O141" s="18">
        <f t="shared" si="158"/>
        <v>169.824365246174</v>
      </c>
      <c r="P141" s="86" t="str">
        <f t="shared" si="105"/>
        <v>75</v>
      </c>
      <c r="Q141" s="4" t="str">
        <f t="shared" si="106"/>
        <v>1+1,74282866230924i</v>
      </c>
      <c r="R141" s="4">
        <f t="shared" si="118"/>
        <v>2.00934112239973</v>
      </c>
      <c r="S141" s="4">
        <f t="shared" si="119"/>
        <v>1.04987949194342</v>
      </c>
      <c r="T141" s="4" t="str">
        <f t="shared" si="107"/>
        <v>1+0,0167311551581687i</v>
      </c>
      <c r="U141" s="4">
        <f t="shared" si="120"/>
        <v>1.00013995598262</v>
      </c>
      <c r="V141" s="4">
        <f t="shared" si="121"/>
        <v>0.016729594227584</v>
      </c>
      <c r="W141" t="str">
        <f t="shared" si="108"/>
        <v>1-0,00877638719234295i</v>
      </c>
      <c r="X141" s="4">
        <f t="shared" si="122"/>
        <v>1.0000385117445</v>
      </c>
      <c r="Y141" s="4">
        <f t="shared" si="123"/>
        <v>-0.00877616186909648</v>
      </c>
      <c r="Z141" t="str">
        <f t="shared" si="109"/>
        <v>0,999999764568857+0,00275404674205226i</v>
      </c>
      <c r="AA141" s="4">
        <f t="shared" si="124"/>
        <v>1.00000355694929</v>
      </c>
      <c r="AB141" s="4">
        <f t="shared" si="125"/>
        <v>0.00275404042752734</v>
      </c>
      <c r="AC141" s="67" t="str">
        <f t="shared" si="126"/>
        <v>18,7474300616145-32,2835376094004i</v>
      </c>
      <c r="AD141" s="68">
        <f t="shared" si="127"/>
        <v>31.4416709833498</v>
      </c>
      <c r="AE141" s="31">
        <f t="shared" si="128"/>
        <v>-59.855760672019</v>
      </c>
      <c r="AF141" s="32" t="str">
        <f t="shared" si="129"/>
        <v>249,914648392112</v>
      </c>
      <c r="AG141" s="32" t="str">
        <f t="shared" si="110"/>
        <v>1+1,12038985434165i</v>
      </c>
      <c r="AH141" s="32">
        <f t="shared" si="130"/>
        <v>1.50175677981213</v>
      </c>
      <c r="AI141" s="32">
        <f t="shared" si="131"/>
        <v>0.842114497274749</v>
      </c>
      <c r="AJ141" s="32" t="str">
        <f t="shared" si="111"/>
        <v>1+0,0167311551581687i</v>
      </c>
      <c r="AK141" s="32">
        <f t="shared" si="132"/>
        <v>1.00013995598262</v>
      </c>
      <c r="AL141" s="32">
        <f t="shared" si="133"/>
        <v>0.016729594227584</v>
      </c>
      <c r="AM141" s="32" t="str">
        <f t="shared" si="112"/>
        <v>1-0,00169314990735264i</v>
      </c>
      <c r="AN141" s="32">
        <f t="shared" si="134"/>
        <v>1.00000143337728</v>
      </c>
      <c r="AO141" s="32">
        <f t="shared" si="135"/>
        <v>-0.00169314828940586</v>
      </c>
      <c r="AP141" s="30" t="str">
        <f t="shared" si="136"/>
        <v>112,68363039846-122,491378454043i</v>
      </c>
      <c r="AQ141" s="32">
        <f t="shared" si="137"/>
        <v>44.4250702301561</v>
      </c>
      <c r="AR141" s="31">
        <f t="shared" si="138"/>
        <v>-47.3880816694901</v>
      </c>
      <c r="AS141" t="str">
        <f t="shared" si="113"/>
        <v>-0,000100699300699301</v>
      </c>
      <c r="AT141" t="str">
        <f t="shared" si="114"/>
        <v>0,000239763428829114i</v>
      </c>
      <c r="AU141">
        <f t="shared" si="139"/>
        <v>0.000239763428829114</v>
      </c>
      <c r="AV141">
        <f t="shared" si="140"/>
        <v>1.5707963267949</v>
      </c>
      <c r="AW141" t="str">
        <f t="shared" si="115"/>
        <v>1+0,0122754477863529i</v>
      </c>
      <c r="AX141">
        <f t="shared" si="141"/>
        <v>1.00007534047108</v>
      </c>
      <c r="AY141">
        <f t="shared" si="142"/>
        <v>0.012274831260188</v>
      </c>
      <c r="AZ141" t="str">
        <f t="shared" si="116"/>
        <v>1+0,586870876083722i</v>
      </c>
      <c r="BA141">
        <f t="shared" si="143"/>
        <v>1.15949015743786</v>
      </c>
      <c r="BB141">
        <f t="shared" si="144"/>
        <v>0.530709794924267</v>
      </c>
      <c r="BC141" s="30" t="str">
        <f t="shared" si="145"/>
        <v>-0,241290510727053+0,422956362688678i</v>
      </c>
      <c r="BD141" s="32">
        <f t="shared" si="146"/>
        <v>-6.2504427694117</v>
      </c>
      <c r="BE141" s="31">
        <f t="shared" si="147"/>
        <v>119.70413536997</v>
      </c>
      <c r="BF141" s="30" t="str">
        <f t="shared" si="148"/>
        <v>9,13095066760846+15,7190561064691i</v>
      </c>
      <c r="BG141" s="68">
        <f t="shared" si="149"/>
        <v>25.1912282139381</v>
      </c>
      <c r="BH141" s="31">
        <f t="shared" si="150"/>
        <v>59.8483746979509</v>
      </c>
      <c r="BI141" s="30" t="str">
        <f t="shared" si="156"/>
        <v>24,6190171622214+77,2162657147248i</v>
      </c>
      <c r="BJ141" s="68">
        <f t="shared" si="151"/>
        <v>38.1746274607444</v>
      </c>
      <c r="BK141" s="31">
        <f t="shared" si="157"/>
        <v>72.3160537004798</v>
      </c>
      <c r="BL141" s="32">
        <f t="shared" si="152"/>
        <v>25.1912282139381</v>
      </c>
      <c r="BM141" s="31">
        <f t="shared" si="153"/>
        <v>59.8483746979509</v>
      </c>
      <c r="BO141">
        <f t="shared" si="154"/>
        <v>0</v>
      </c>
      <c r="BP141">
        <f t="shared" si="155"/>
        <v>0</v>
      </c>
    </row>
    <row r="142" spans="14:68">
      <c r="N142" s="7">
        <v>24</v>
      </c>
      <c r="O142" s="18">
        <f t="shared" si="158"/>
        <v>173.780082874938</v>
      </c>
      <c r="P142" s="86" t="str">
        <f t="shared" si="105"/>
        <v>75</v>
      </c>
      <c r="Q142" s="4" t="str">
        <f t="shared" si="106"/>
        <v>1+1,78342435688709i</v>
      </c>
      <c r="R142" s="4">
        <f t="shared" si="118"/>
        <v>2.04465215543821</v>
      </c>
      <c r="S142" s="4">
        <f t="shared" si="119"/>
        <v>1.05976078857414</v>
      </c>
      <c r="T142" s="4" t="str">
        <f t="shared" si="107"/>
        <v>1+0,0171208738261161i</v>
      </c>
      <c r="U142" s="4">
        <f t="shared" si="120"/>
        <v>1.00014655142163</v>
      </c>
      <c r="V142" s="4">
        <f t="shared" si="121"/>
        <v>0.0171192012720967</v>
      </c>
      <c r="W142" t="str">
        <f t="shared" si="108"/>
        <v>1-0,00898081551146714i</v>
      </c>
      <c r="X142" s="4">
        <f t="shared" si="122"/>
        <v>1.0000403267105</v>
      </c>
      <c r="Y142" s="4">
        <f t="shared" si="123"/>
        <v>-0.00898057407378446</v>
      </c>
      <c r="Z142" t="str">
        <f t="shared" si="109"/>
        <v>0,999999753473329+0,00281819673155573i</v>
      </c>
      <c r="AA142" s="4">
        <f t="shared" si="124"/>
        <v>1.00000372458283</v>
      </c>
      <c r="AB142" s="4">
        <f t="shared" si="125"/>
        <v>0.00281818996542174</v>
      </c>
      <c r="AC142" s="67" t="str">
        <f t="shared" si="126"/>
        <v>18,1132858565266-31,9045711838788i</v>
      </c>
      <c r="AD142" s="68">
        <f t="shared" si="127"/>
        <v>31.2904273254968</v>
      </c>
      <c r="AE142" s="31">
        <f t="shared" si="128"/>
        <v>-60.4149818801454</v>
      </c>
      <c r="AF142" s="32" t="str">
        <f t="shared" si="129"/>
        <v>249,914648392112</v>
      </c>
      <c r="AG142" s="32" t="str">
        <f t="shared" si="110"/>
        <v>1+1,14648708657027i</v>
      </c>
      <c r="AH142" s="32">
        <f t="shared" si="130"/>
        <v>1.52132594787323</v>
      </c>
      <c r="AI142" s="32">
        <f t="shared" si="131"/>
        <v>0.853537545785729</v>
      </c>
      <c r="AJ142" s="32" t="str">
        <f t="shared" si="111"/>
        <v>1+0,0171208738261161i</v>
      </c>
      <c r="AK142" s="32">
        <f t="shared" si="132"/>
        <v>1.00014655142163</v>
      </c>
      <c r="AL142" s="32">
        <f t="shared" si="133"/>
        <v>0.0171192012720967</v>
      </c>
      <c r="AM142" s="32" t="str">
        <f t="shared" si="112"/>
        <v>1-0,00173258843507477i</v>
      </c>
      <c r="AN142" s="32">
        <f t="shared" si="134"/>
        <v>1.00000150093022</v>
      </c>
      <c r="AO142" s="32">
        <f t="shared" si="135"/>
        <v>-0.0017325867014137</v>
      </c>
      <c r="AP142" s="30" t="str">
        <f t="shared" si="136"/>
        <v>109,889209634283-122,14080186626i</v>
      </c>
      <c r="AQ142" s="32">
        <f t="shared" si="137"/>
        <v>44.3126746677112</v>
      </c>
      <c r="AR142" s="31">
        <f t="shared" si="138"/>
        <v>-48.0225109535821</v>
      </c>
      <c r="AS142" t="str">
        <f t="shared" si="113"/>
        <v>-0,000100699300699301</v>
      </c>
      <c r="AT142" t="str">
        <f t="shared" si="114"/>
        <v>0,000245348236526039i</v>
      </c>
      <c r="AU142">
        <f t="shared" si="139"/>
        <v>0.000245348236526039</v>
      </c>
      <c r="AV142">
        <f t="shared" si="140"/>
        <v>1.5707963267949</v>
      </c>
      <c r="AW142" t="str">
        <f t="shared" si="115"/>
        <v>1+0,0125613796968833i</v>
      </c>
      <c r="AX142">
        <f t="shared" si="141"/>
        <v>1.00007889101805</v>
      </c>
      <c r="AY142">
        <f t="shared" si="142"/>
        <v>0.01256071908001</v>
      </c>
      <c r="AZ142" t="str">
        <f t="shared" si="116"/>
        <v>1+0,600540854870142i</v>
      </c>
      <c r="BA142">
        <f t="shared" si="143"/>
        <v>1.16646873870163</v>
      </c>
      <c r="BB142">
        <f t="shared" si="144"/>
        <v>0.540817092783624</v>
      </c>
      <c r="BC142" s="30" t="str">
        <f t="shared" si="145"/>
        <v>-0,241288797438677+0,413465093787043i</v>
      </c>
      <c r="BD142" s="32">
        <f t="shared" si="146"/>
        <v>-6.39835285024158</v>
      </c>
      <c r="BE142" s="31">
        <f t="shared" si="147"/>
        <v>120.266860714103</v>
      </c>
      <c r="BF142" s="30" t="str">
        <f t="shared" si="148"/>
        <v>8,82089355479354+15,1874270492151i</v>
      </c>
      <c r="BG142" s="68">
        <f t="shared" si="149"/>
        <v>24.8920744752552</v>
      </c>
      <c r="BH142" s="31">
        <f t="shared" si="150"/>
        <v>59.8518788339573</v>
      </c>
      <c r="BI142" s="30" t="str">
        <f t="shared" si="156"/>
        <v>23,985922854715+74,9065595681284i</v>
      </c>
      <c r="BJ142" s="68">
        <f t="shared" si="151"/>
        <v>37.9143218174696</v>
      </c>
      <c r="BK142" s="31">
        <f t="shared" si="157"/>
        <v>72.2443497605206</v>
      </c>
      <c r="BL142" s="32">
        <f t="shared" si="152"/>
        <v>24.8920744752552</v>
      </c>
      <c r="BM142" s="31">
        <f t="shared" si="153"/>
        <v>59.8518788339573</v>
      </c>
      <c r="BO142">
        <f t="shared" si="154"/>
        <v>0</v>
      </c>
      <c r="BP142">
        <f t="shared" si="155"/>
        <v>0</v>
      </c>
    </row>
    <row r="143" spans="14:68">
      <c r="N143" s="7">
        <v>25</v>
      </c>
      <c r="O143" s="18">
        <f t="shared" si="158"/>
        <v>177.827941003892</v>
      </c>
      <c r="P143" s="86" t="str">
        <f t="shared" si="105"/>
        <v>75</v>
      </c>
      <c r="Q143" s="4" t="str">
        <f t="shared" si="106"/>
        <v>1+1,82496564666536i</v>
      </c>
      <c r="R143" s="4">
        <f t="shared" si="118"/>
        <v>2.08098525019009</v>
      </c>
      <c r="S143" s="4">
        <f t="shared" si="119"/>
        <v>1.06952412915796</v>
      </c>
      <c r="T143" s="4" t="str">
        <f t="shared" si="107"/>
        <v>1+0,0175196702079875i</v>
      </c>
      <c r="U143" s="4">
        <f t="shared" si="120"/>
        <v>1.00015345764747</v>
      </c>
      <c r="V143" s="4">
        <f t="shared" si="121"/>
        <v>0.0175178780489177</v>
      </c>
      <c r="W143" t="str">
        <f t="shared" si="108"/>
        <v>1-0,00919000557785057i</v>
      </c>
      <c r="X143" s="4">
        <f t="shared" si="122"/>
        <v>1.00004222720969</v>
      </c>
      <c r="Y143" s="4">
        <f t="shared" si="123"/>
        <v>-0.00918974687330255</v>
      </c>
      <c r="Z143" t="str">
        <f t="shared" si="109"/>
        <v>0,999999741854885+0,00288384096626949i</v>
      </c>
      <c r="AA143" s="4">
        <f t="shared" si="124"/>
        <v>1.00000390011667</v>
      </c>
      <c r="AB143" s="4">
        <f t="shared" si="125"/>
        <v>0.00288383371622782</v>
      </c>
      <c r="AC143" s="67" t="str">
        <f t="shared" si="126"/>
        <v>17,4941906893474-31,5178984200108i</v>
      </c>
      <c r="AD143" s="68">
        <f t="shared" si="127"/>
        <v>31.1375109392275</v>
      </c>
      <c r="AE143" s="31">
        <f t="shared" si="128"/>
        <v>-60.9672834213189</v>
      </c>
      <c r="AF143" s="32" t="str">
        <f t="shared" si="129"/>
        <v>249,914648392112</v>
      </c>
      <c r="AG143" s="32" t="str">
        <f t="shared" si="110"/>
        <v>1+1,17319220142773i</v>
      </c>
      <c r="AH143" s="32">
        <f t="shared" si="130"/>
        <v>1.54155114786725</v>
      </c>
      <c r="AI143" s="32">
        <f t="shared" si="131"/>
        <v>0.864924920833825</v>
      </c>
      <c r="AJ143" s="32" t="str">
        <f t="shared" si="111"/>
        <v>1+0,0175196702079875i</v>
      </c>
      <c r="AK143" s="32">
        <f t="shared" si="132"/>
        <v>1.00015345764747</v>
      </c>
      <c r="AL143" s="32">
        <f t="shared" si="133"/>
        <v>0.0175178780489177</v>
      </c>
      <c r="AM143" s="32" t="str">
        <f t="shared" si="112"/>
        <v>1-0,00177294560411868i</v>
      </c>
      <c r="AN143" s="32">
        <f t="shared" si="134"/>
        <v>1.00000157166682</v>
      </c>
      <c r="AO143" s="32">
        <f t="shared" si="135"/>
        <v>-0.00177294374646753</v>
      </c>
      <c r="AP143" s="30" t="str">
        <f t="shared" si="136"/>
        <v>107,112214464603-121,727877544824i</v>
      </c>
      <c r="AQ143" s="32">
        <f t="shared" si="137"/>
        <v>44.1980219344309</v>
      </c>
      <c r="AR143" s="31">
        <f t="shared" si="138"/>
        <v>-48.654429275224</v>
      </c>
      <c r="AS143" t="str">
        <f t="shared" si="113"/>
        <v>-0,000100699300699301</v>
      </c>
      <c r="AT143" t="str">
        <f t="shared" si="114"/>
        <v>0,000251063131105535i</v>
      </c>
      <c r="AU143">
        <f t="shared" si="139"/>
        <v>0.000251063131105535</v>
      </c>
      <c r="AV143">
        <f t="shared" si="140"/>
        <v>1.5707963267949</v>
      </c>
      <c r="AW143" t="str">
        <f t="shared" si="115"/>
        <v>1+0,0128539718171983i</v>
      </c>
      <c r="AX143">
        <f t="shared" si="141"/>
        <v>1.00008260888362</v>
      </c>
      <c r="AY143">
        <f t="shared" si="142"/>
        <v>0.0128532639566231</v>
      </c>
      <c r="AZ143" t="str">
        <f t="shared" si="116"/>
        <v>1+0,614529248366907i</v>
      </c>
      <c r="BA143">
        <f t="shared" si="143"/>
        <v>1.17373173983598</v>
      </c>
      <c r="BB143">
        <f t="shared" si="144"/>
        <v>0.551034329225487</v>
      </c>
      <c r="BC143" s="30" t="str">
        <f t="shared" si="145"/>
        <v>-0,241287003431585+0,404193047522261i</v>
      </c>
      <c r="BD143" s="32">
        <f t="shared" si="146"/>
        <v>-6.54447024790564</v>
      </c>
      <c r="BE143" s="31">
        <f t="shared" si="147"/>
        <v>120.835503653761</v>
      </c>
      <c r="BF143" s="30" t="str">
        <f t="shared" si="148"/>
        <v>8,51819456498785+14,6758895128884i</v>
      </c>
      <c r="BG143" s="68">
        <f t="shared" si="149"/>
        <v>24.5930406913219</v>
      </c>
      <c r="BH143" s="31">
        <f t="shared" si="150"/>
        <v>59.8682202324418</v>
      </c>
      <c r="BI143" s="30" t="str">
        <f t="shared" si="156"/>
        <v>23,3567765341737+72,6653671981834i</v>
      </c>
      <c r="BJ143" s="68">
        <f t="shared" si="151"/>
        <v>37.6535516865253</v>
      </c>
      <c r="BK143" s="31">
        <f t="shared" si="157"/>
        <v>72.1810743785366</v>
      </c>
      <c r="BL143" s="32">
        <f t="shared" si="152"/>
        <v>24.5930406913219</v>
      </c>
      <c r="BM143" s="31">
        <f t="shared" si="153"/>
        <v>59.8682202324418</v>
      </c>
      <c r="BO143">
        <f t="shared" si="154"/>
        <v>0</v>
      </c>
      <c r="BP143">
        <f t="shared" si="155"/>
        <v>0</v>
      </c>
    </row>
    <row r="144" spans="14:68">
      <c r="N144" s="7">
        <v>26</v>
      </c>
      <c r="O144" s="18">
        <f t="shared" si="158"/>
        <v>181.970085860998</v>
      </c>
      <c r="P144" s="86" t="str">
        <f t="shared" si="105"/>
        <v>75</v>
      </c>
      <c r="Q144" s="4" t="str">
        <f t="shared" si="106"/>
        <v>1+1,86747455738578i</v>
      </c>
      <c r="R144" s="4">
        <f t="shared" si="118"/>
        <v>2.11836286374247</v>
      </c>
      <c r="S144" s="4">
        <f t="shared" si="119"/>
        <v>1.07916724426664</v>
      </c>
      <c r="T144" s="4" t="str">
        <f t="shared" si="107"/>
        <v>1+0,0179277557509035i</v>
      </c>
      <c r="U144" s="4">
        <f t="shared" si="120"/>
        <v>1.00016068930261</v>
      </c>
      <c r="V144" s="4">
        <f t="shared" si="121"/>
        <v>0.017925835434525</v>
      </c>
      <c r="W144" t="str">
        <f t="shared" si="108"/>
        <v>1-0,00940406830683555i</v>
      </c>
      <c r="X144" s="4">
        <f t="shared" si="122"/>
        <v>1.00004421727278</v>
      </c>
      <c r="Y144" s="4">
        <f t="shared" si="123"/>
        <v>-0.00940379110057996</v>
      </c>
      <c r="Z144" t="str">
        <f t="shared" si="109"/>
        <v>0,99999972968888+0,00295101425163573i</v>
      </c>
      <c r="AA144" s="4">
        <f t="shared" si="124"/>
        <v>1.00000408392313</v>
      </c>
      <c r="AB144" s="4">
        <f t="shared" si="125"/>
        <v>0.00295100648307783</v>
      </c>
      <c r="AC144" s="67" t="str">
        <f t="shared" si="126"/>
        <v>16,8902481468131-31,1241990931171i</v>
      </c>
      <c r="AD144" s="68">
        <f t="shared" si="127"/>
        <v>30.982962383363</v>
      </c>
      <c r="AE144" s="31">
        <f t="shared" si="128"/>
        <v>-61.5125315288798</v>
      </c>
      <c r="AF144" s="32" t="str">
        <f t="shared" si="129"/>
        <v>249,914648392112</v>
      </c>
      <c r="AG144" s="32" t="str">
        <f t="shared" si="110"/>
        <v>1+1,20051935831943i</v>
      </c>
      <c r="AH144" s="32">
        <f t="shared" si="130"/>
        <v>1.56244895267004</v>
      </c>
      <c r="AI144" s="32">
        <f t="shared" si="131"/>
        <v>0.876270848012071</v>
      </c>
      <c r="AJ144" s="32" t="str">
        <f t="shared" si="111"/>
        <v>1+0,0179277557509035i</v>
      </c>
      <c r="AK144" s="32">
        <f t="shared" si="132"/>
        <v>1.00016068930261</v>
      </c>
      <c r="AL144" s="32">
        <f t="shared" si="133"/>
        <v>0.017925835434525</v>
      </c>
      <c r="AM144" s="32" t="str">
        <f t="shared" si="112"/>
        <v>1-0,00181424281238962i</v>
      </c>
      <c r="AN144" s="32">
        <f t="shared" si="134"/>
        <v>1.00000164573714</v>
      </c>
      <c r="AO144" s="32">
        <f t="shared" si="135"/>
        <v>-0.00181424082188073</v>
      </c>
      <c r="AP144" s="30" t="str">
        <f t="shared" si="136"/>
        <v>104,355397102695-121,253671446506i</v>
      </c>
      <c r="AQ144" s="32">
        <f t="shared" si="137"/>
        <v>44.0811274154902</v>
      </c>
      <c r="AR144" s="31">
        <f t="shared" si="138"/>
        <v>-49.283494928911</v>
      </c>
      <c r="AS144" t="str">
        <f t="shared" si="113"/>
        <v>-0,000100699300699301</v>
      </c>
      <c r="AT144" t="str">
        <f t="shared" si="114"/>
        <v>0,000256911142680358i</v>
      </c>
      <c r="AU144">
        <f t="shared" si="139"/>
        <v>0.000256911142680358</v>
      </c>
      <c r="AV144">
        <f t="shared" si="140"/>
        <v>1.5707963267949</v>
      </c>
      <c r="AW144" t="str">
        <f t="shared" si="115"/>
        <v>1+0,0131533792835134i</v>
      </c>
      <c r="AX144">
        <f t="shared" si="141"/>
        <v>1.00008650195199</v>
      </c>
      <c r="AY144">
        <f t="shared" si="142"/>
        <v>0.0131526208007849</v>
      </c>
      <c r="AZ144" t="str">
        <f t="shared" si="116"/>
        <v>1+0,628843473405416i</v>
      </c>
      <c r="BA144">
        <f t="shared" si="143"/>
        <v>1.18128917460738</v>
      </c>
      <c r="BB144">
        <f t="shared" si="144"/>
        <v>0.561358388341539</v>
      </c>
      <c r="BC144" s="30" t="str">
        <f t="shared" si="145"/>
        <v>-0,241285124904136+0,395135307587622i</v>
      </c>
      <c r="BD144" s="32">
        <f t="shared" si="146"/>
        <v>-6.68875655514418</v>
      </c>
      <c r="BE144" s="31">
        <f t="shared" si="147"/>
        <v>121.409876784815</v>
      </c>
      <c r="BF144" s="30" t="str">
        <f t="shared" si="148"/>
        <v>8,22290434831156+14,1837396624462i</v>
      </c>
      <c r="BG144" s="68">
        <f t="shared" si="149"/>
        <v>24.2942058282189</v>
      </c>
      <c r="BH144" s="31">
        <f t="shared" si="150"/>
        <v>59.8973452559352</v>
      </c>
      <c r="BI144" s="30" t="str">
        <f t="shared" si="156"/>
        <v>22,7322017387991+70,4912091926571i</v>
      </c>
      <c r="BJ144" s="68">
        <f t="shared" si="151"/>
        <v>37.392370860346</v>
      </c>
      <c r="BK144" s="31">
        <f t="shared" si="157"/>
        <v>72.126381855904</v>
      </c>
      <c r="BL144" s="32">
        <f t="shared" si="152"/>
        <v>24.2942058282189</v>
      </c>
      <c r="BM144" s="31">
        <f t="shared" si="153"/>
        <v>59.8973452559352</v>
      </c>
      <c r="BO144">
        <f t="shared" si="154"/>
        <v>0</v>
      </c>
      <c r="BP144">
        <f t="shared" si="155"/>
        <v>0</v>
      </c>
    </row>
    <row r="145" spans="14:68">
      <c r="N145" s="7">
        <v>27</v>
      </c>
      <c r="O145" s="18">
        <f t="shared" si="158"/>
        <v>186.208713666287</v>
      </c>
      <c r="P145" s="86" t="str">
        <f t="shared" si="105"/>
        <v>75</v>
      </c>
      <c r="Q145" s="4" t="str">
        <f t="shared" si="106"/>
        <v>1+1,91097362783549i</v>
      </c>
      <c r="R145" s="4">
        <f t="shared" si="118"/>
        <v>2.1568078742166</v>
      </c>
      <c r="S145" s="4">
        <f t="shared" si="119"/>
        <v>1.08868807234224</v>
      </c>
      <c r="T145" s="4" t="str">
        <f t="shared" si="107"/>
        <v>1+0,0183453468272207i</v>
      </c>
      <c r="U145" s="4">
        <f t="shared" si="120"/>
        <v>1.0001682617191</v>
      </c>
      <c r="V145" s="4">
        <f t="shared" si="121"/>
        <v>0.0183432891898446</v>
      </c>
      <c r="W145" t="str">
        <f t="shared" si="108"/>
        <v>1-0,00962311719731443i</v>
      </c>
      <c r="X145" s="4">
        <f t="shared" si="122"/>
        <v>1.0000463011204</v>
      </c>
      <c r="Y145" s="4">
        <f t="shared" si="123"/>
        <v>-0.00962282016620278</v>
      </c>
      <c r="Z145" t="str">
        <f t="shared" si="109"/>
        <v>0,99999971694951+0,0030197522038195i</v>
      </c>
      <c r="AA145" s="4">
        <f t="shared" si="124"/>
        <v>1.00000427639209</v>
      </c>
      <c r="AB145" s="4">
        <f t="shared" si="125"/>
        <v>0.00301974387966166</v>
      </c>
      <c r="AC145" s="67" t="str">
        <f t="shared" si="126"/>
        <v>16,3015254778174-30,7241433002389i</v>
      </c>
      <c r="AD145" s="68">
        <f t="shared" si="127"/>
        <v>30.8268224523524</v>
      </c>
      <c r="AE145" s="31">
        <f t="shared" si="128"/>
        <v>-62.0506042605295</v>
      </c>
      <c r="AF145" s="32" t="str">
        <f t="shared" si="129"/>
        <v>249,914648392112</v>
      </c>
      <c r="AG145" s="32" t="str">
        <f t="shared" si="110"/>
        <v>1+1,22848304646567i</v>
      </c>
      <c r="AH145" s="32">
        <f t="shared" si="130"/>
        <v>1.5840361723943</v>
      </c>
      <c r="AI145" s="32">
        <f t="shared" si="131"/>
        <v>0.887569659395209</v>
      </c>
      <c r="AJ145" s="32" t="str">
        <f t="shared" si="111"/>
        <v>1+0,0183453468272207i</v>
      </c>
      <c r="AK145" s="32">
        <f t="shared" si="132"/>
        <v>1.0001682617191</v>
      </c>
      <c r="AL145" s="32">
        <f t="shared" si="133"/>
        <v>0.0183432891898446</v>
      </c>
      <c r="AM145" s="32" t="str">
        <f t="shared" si="112"/>
        <v>1-0,00185650195621404i</v>
      </c>
      <c r="AN145" s="32">
        <f t="shared" si="134"/>
        <v>1.00000172329827</v>
      </c>
      <c r="AO145" s="32">
        <f t="shared" si="135"/>
        <v>-0.00185649982334554</v>
      </c>
      <c r="AP145" s="30" t="str">
        <f t="shared" si="136"/>
        <v>101,621427486966-120,719396957049i</v>
      </c>
      <c r="AQ145" s="32">
        <f t="shared" si="137"/>
        <v>43.9620087019629</v>
      </c>
      <c r="AR145" s="31">
        <f t="shared" si="138"/>
        <v>-49.909372058788</v>
      </c>
      <c r="AS145" t="str">
        <f t="shared" si="113"/>
        <v>-0,000100699300699301</v>
      </c>
      <c r="AT145" t="str">
        <f t="shared" si="114"/>
        <v>0,000262895371943653i</v>
      </c>
      <c r="AU145">
        <f t="shared" si="139"/>
        <v>0.000262895371943653</v>
      </c>
      <c r="AV145">
        <f t="shared" si="140"/>
        <v>1.5707963267949</v>
      </c>
      <c r="AW145" t="str">
        <f t="shared" si="115"/>
        <v>1+0,0134597608456302i</v>
      </c>
      <c r="AX145">
        <f t="shared" si="141"/>
        <v>1.00009057847878</v>
      </c>
      <c r="AY145">
        <f t="shared" si="142"/>
        <v>0.0134589481207194</v>
      </c>
      <c r="AZ145" t="str">
        <f t="shared" si="116"/>
        <v>1+0,643491119577256i</v>
      </c>
      <c r="BA145">
        <f t="shared" si="143"/>
        <v>1.18915130281003</v>
      </c>
      <c r="BB145">
        <f t="shared" si="144"/>
        <v>0.571785940502563</v>
      </c>
      <c r="BC145" s="30" t="str">
        <f t="shared" si="145"/>
        <v>-0,241283157875767+0,386287071294104i</v>
      </c>
      <c r="BD145" s="32">
        <f t="shared" si="146"/>
        <v>-6.83117412177003</v>
      </c>
      <c r="BE145" s="31">
        <f t="shared" si="147"/>
        <v>121.989780251712</v>
      </c>
      <c r="BF145" s="30" t="str">
        <f t="shared" si="148"/>
        <v>7,9350557879896+13,7102868529615i</v>
      </c>
      <c r="BG145" s="68">
        <f t="shared" si="149"/>
        <v>23.9956483305824</v>
      </c>
      <c r="BH145" s="31">
        <f t="shared" si="150"/>
        <v>59.9391759911829</v>
      </c>
      <c r="BI145" s="30" t="str">
        <f t="shared" si="156"/>
        <v>22,1128033670304+68,3826009193213i</v>
      </c>
      <c r="BJ145" s="68">
        <f t="shared" si="151"/>
        <v>37.1308345801929</v>
      </c>
      <c r="BK145" s="31">
        <f t="shared" si="157"/>
        <v>72.0804081929244</v>
      </c>
      <c r="BL145" s="32">
        <f t="shared" si="152"/>
        <v>23.9956483305824</v>
      </c>
      <c r="BM145" s="31">
        <f t="shared" si="153"/>
        <v>59.9391759911829</v>
      </c>
      <c r="BO145">
        <f t="shared" si="154"/>
        <v>0</v>
      </c>
      <c r="BP145">
        <f t="shared" si="155"/>
        <v>0</v>
      </c>
    </row>
    <row r="146" spans="14:68">
      <c r="N146" s="7">
        <v>28</v>
      </c>
      <c r="O146" s="18">
        <f t="shared" si="158"/>
        <v>190.546071796325</v>
      </c>
      <c r="P146" s="86" t="str">
        <f t="shared" si="105"/>
        <v>75</v>
      </c>
      <c r="Q146" s="4" t="str">
        <f t="shared" si="106"/>
        <v>1+1,95548592179738i</v>
      </c>
      <c r="R146" s="4">
        <f t="shared" si="118"/>
        <v>2.19634359569439</v>
      </c>
      <c r="S146" s="4">
        <f t="shared" si="119"/>
        <v>1.09808475640525</v>
      </c>
      <c r="T146" s="4" t="str">
        <f t="shared" si="107"/>
        <v>1+0,0187726648492549i</v>
      </c>
      <c r="U146" s="4">
        <f t="shared" si="120"/>
        <v>1.00017619095115</v>
      </c>
      <c r="V146" s="4">
        <f t="shared" si="121"/>
        <v>0.0187704600720596</v>
      </c>
      <c r="W146" t="str">
        <f t="shared" si="108"/>
        <v>1-0,00984726839190826i</v>
      </c>
      <c r="X146" s="4">
        <f t="shared" si="122"/>
        <v>1.00004848317208</v>
      </c>
      <c r="Y146" s="4">
        <f t="shared" si="123"/>
        <v>-0.00984695011817123</v>
      </c>
      <c r="Z146" t="str">
        <f t="shared" si="109"/>
        <v>0,999999703609751+0,00309009126859286i</v>
      </c>
      <c r="AA146" s="4">
        <f t="shared" si="124"/>
        <v>1.00000447793179</v>
      </c>
      <c r="AB146" s="4">
        <f t="shared" si="125"/>
        <v>0.00309008234909919</v>
      </c>
      <c r="AC146" s="67" t="str">
        <f t="shared" si="126"/>
        <v>15,7280551383789-30,3183894711517i</v>
      </c>
      <c r="AD146" s="68">
        <f t="shared" si="127"/>
        <v>30.6691320814705</v>
      </c>
      <c r="AE146" s="31">
        <f t="shared" si="128"/>
        <v>-62.5813913078222</v>
      </c>
      <c r="AF146" s="32" t="str">
        <f t="shared" si="129"/>
        <v>249,914648392112</v>
      </c>
      <c r="AG146" s="32" t="str">
        <f t="shared" si="110"/>
        <v>1+1,25709809258403i</v>
      </c>
      <c r="AH146" s="32">
        <f t="shared" si="130"/>
        <v>1.60632985852172</v>
      </c>
      <c r="AI146" s="32">
        <f t="shared" si="131"/>
        <v>0.898815806966607</v>
      </c>
      <c r="AJ146" s="32" t="str">
        <f t="shared" si="111"/>
        <v>1+0,0187726648492549i</v>
      </c>
      <c r="AK146" s="32">
        <f t="shared" si="132"/>
        <v>1.00017619095115</v>
      </c>
      <c r="AL146" s="32">
        <f t="shared" si="133"/>
        <v>0.0187704600720596</v>
      </c>
      <c r="AM146" s="32" t="str">
        <f t="shared" si="112"/>
        <v>1-0,00189974544194933i</v>
      </c>
      <c r="AN146" s="32">
        <f t="shared" si="134"/>
        <v>1.00000180451474</v>
      </c>
      <c r="AO146" s="32">
        <f t="shared" si="135"/>
        <v>-0.00189974315653978</v>
      </c>
      <c r="AP146" s="30" t="str">
        <f t="shared" si="136"/>
        <v>98,912883493749-120,126407450953i</v>
      </c>
      <c r="AQ146" s="32">
        <f t="shared" si="137"/>
        <v>43.8406855203473</v>
      </c>
      <c r="AR146" s="31">
        <f t="shared" si="138"/>
        <v>-50.5317314222126</v>
      </c>
      <c r="AS146" t="str">
        <f t="shared" si="113"/>
        <v>-0,000100699300699301</v>
      </c>
      <c r="AT146" t="str">
        <f t="shared" si="114"/>
        <v>0,000269018991812982i</v>
      </c>
      <c r="AU146">
        <f t="shared" si="139"/>
        <v>0.000269018991812982</v>
      </c>
      <c r="AV146">
        <f t="shared" si="140"/>
        <v>1.5707963267949</v>
      </c>
      <c r="AW146" t="str">
        <f t="shared" si="115"/>
        <v>1+0,0137732789511083i</v>
      </c>
      <c r="AX146">
        <f t="shared" si="141"/>
        <v>1.00009484710855</v>
      </c>
      <c r="AY146">
        <f t="shared" si="142"/>
        <v>0.013772408105137</v>
      </c>
      <c r="AZ146" t="str">
        <f t="shared" si="116"/>
        <v>1+0,658479953258302i</v>
      </c>
      <c r="BA146">
        <f t="shared" si="143"/>
        <v>1.19732863026116</v>
      </c>
      <c r="BB146">
        <f t="shared" si="144"/>
        <v>0.582313443633931</v>
      </c>
      <c r="BC146" s="30" t="str">
        <f t="shared" si="145"/>
        <v>-0,24128109817858+0,377643647023189i</v>
      </c>
      <c r="BD146" s="32">
        <f t="shared" si="146"/>
        <v>-6.97168616773569</v>
      </c>
      <c r="BE146" s="31">
        <f t="shared" si="147"/>
        <v>122.575001815797</v>
      </c>
      <c r="BF146" s="30" t="str">
        <f t="shared" si="148"/>
        <v>7,65466475575386+13,2548544096446i</v>
      </c>
      <c r="BG146" s="68">
        <f t="shared" si="149"/>
        <v>23.6974459137348</v>
      </c>
      <c r="BH146" s="31">
        <f t="shared" si="150"/>
        <v>59.993610507975</v>
      </c>
      <c r="BI146" s="30" t="str">
        <f t="shared" si="156"/>
        <v>21,4991654601898+66,3380535701727i</v>
      </c>
      <c r="BJ146" s="68">
        <f t="shared" si="151"/>
        <v>36.8689993526116</v>
      </c>
      <c r="BK146" s="31">
        <f t="shared" si="157"/>
        <v>72.0432703935846</v>
      </c>
      <c r="BL146" s="32">
        <f t="shared" si="152"/>
        <v>23.6974459137348</v>
      </c>
      <c r="BM146" s="31">
        <f t="shared" si="153"/>
        <v>59.993610507975</v>
      </c>
      <c r="BO146">
        <f t="shared" si="154"/>
        <v>0</v>
      </c>
      <c r="BP146">
        <f t="shared" si="155"/>
        <v>0</v>
      </c>
    </row>
    <row r="147" spans="14:68">
      <c r="N147" s="7">
        <v>29</v>
      </c>
      <c r="O147" s="18">
        <f t="shared" si="158"/>
        <v>194.984459975805</v>
      </c>
      <c r="P147" s="86" t="str">
        <f t="shared" ref="P147:P210" si="159">COMPLEX(Adc,0)</f>
        <v>75</v>
      </c>
      <c r="Q147" s="4" t="str">
        <f t="shared" ref="Q147:Q210" si="160">IMSUM(COMPLEX(1,0),IMDIV(COMPLEX(0,2*PI()*O147),COMPLEX(wp_lf,0)))</f>
        <v>1+2,00103504027892i</v>
      </c>
      <c r="R147" s="4">
        <f t="shared" si="118"/>
        <v>2.23699379355958</v>
      </c>
      <c r="S147" s="4">
        <f t="shared" si="119"/>
        <v>1.10735564017772</v>
      </c>
      <c r="T147" s="4" t="str">
        <f t="shared" ref="T147:T210" si="161">IMSUM(COMPLEX(1,0),IMDIV(COMPLEX(0,2*PI()*O147),COMPLEX(wz_esr,0)))</f>
        <v>1+0,0192099363866777i</v>
      </c>
      <c r="U147" s="4">
        <f t="shared" si="120"/>
        <v>1.00018449380901</v>
      </c>
      <c r="V147" s="4">
        <f t="shared" si="121"/>
        <v>0.0192075739488845</v>
      </c>
      <c r="W147" t="str">
        <f t="shared" ref="W147:W210" si="162">IMSUB(COMPLEX(1,0),IMDIV(COMPLEX(0,2*PI()*O147),COMPLEX(wz_rhp,0)))</f>
        <v>1-0,0100766407385474i</v>
      </c>
      <c r="X147" s="4">
        <f t="shared" si="122"/>
        <v>1.00005076805559</v>
      </c>
      <c r="Y147" s="4">
        <f t="shared" si="123"/>
        <v>-0.0100762997030289</v>
      </c>
      <c r="Z147" t="str">
        <f t="shared" ref="Z147:Z210" si="163">IMSUM(COMPLEX(1,0),IMDIV(COMPLEX(0,2*PI()*O147),COMPLEX(Q*(wsl/2),0)),IMDIV(IMPOWER(COMPLEX(0,2*PI()*O147),2),IMPOWER(COMPLEX(wsl/2,0),2)))</f>
        <v>0,999999689641309+0,003162068740659i</v>
      </c>
      <c r="AA147" s="4">
        <f t="shared" si="124"/>
        <v>1.00000468896972</v>
      </c>
      <c r="AB147" s="4">
        <f t="shared" si="125"/>
        <v>0.00316205918325175</v>
      </c>
      <c r="AC147" s="67" t="str">
        <f t="shared" si="126"/>
        <v>15,1698364330331-29,9075825582162i</v>
      </c>
      <c r="AD147" s="68">
        <f t="shared" si="127"/>
        <v>30.5099322562989</v>
      </c>
      <c r="AE147" s="31">
        <f t="shared" si="128"/>
        <v>-63.1047937720976</v>
      </c>
      <c r="AF147" s="32" t="str">
        <f t="shared" si="129"/>
        <v>249,914648392112</v>
      </c>
      <c r="AG147" s="32" t="str">
        <f t="shared" ref="AG147:AG210" si="164">IMSUM(COMPLEX(1,0),IMDIV(COMPLEX(0,2*PI()*O147),COMPLEX(wp_lf_DCM,0)))</f>
        <v>1+1,28637966875074i</v>
      </c>
      <c r="AH147" s="32">
        <f t="shared" si="130"/>
        <v>1.62934730864088</v>
      </c>
      <c r="AI147" s="32">
        <f t="shared" si="131"/>
        <v>0.910003875315354</v>
      </c>
      <c r="AJ147" s="32" t="str">
        <f t="shared" ref="AJ147:AJ210" si="165">IMSUM(COMPLEX(1,0),IMDIV(COMPLEX(0,2*PI()*O147),COMPLEX(wz1_dcm,0)))</f>
        <v>1+0,0192099363866777i</v>
      </c>
      <c r="AK147" s="32">
        <f t="shared" si="132"/>
        <v>1.00018449380901</v>
      </c>
      <c r="AL147" s="32">
        <f t="shared" si="133"/>
        <v>0.0192075739488845</v>
      </c>
      <c r="AM147" s="32" t="str">
        <f t="shared" ref="AM147:AM210" si="166">IMSUB(COMPLEX(1,0),IMDIV(COMPLEX(0,2*PI()*O147),COMPLEX(wz2_dcm,0)))</f>
        <v>1-0,00194399619786404i</v>
      </c>
      <c r="AN147" s="32">
        <f t="shared" si="134"/>
        <v>1.00000188955882</v>
      </c>
      <c r="AO147" s="32">
        <f t="shared" si="135"/>
        <v>-0.00194399374900383</v>
      </c>
      <c r="AP147" s="30" t="str">
        <f t="shared" si="136"/>
        <v>96,232241922821-119,476188116373i</v>
      </c>
      <c r="AQ147" s="32">
        <f t="shared" si="137"/>
        <v>43.7171796544729</v>
      </c>
      <c r="AR147" s="31">
        <f t="shared" si="138"/>
        <v>-51.1502511113802</v>
      </c>
      <c r="AS147" t="str">
        <f t="shared" ref="AS147:AS210" si="167">COMPLEX(Adc_ea,0)</f>
        <v>-0,000100699300699301</v>
      </c>
      <c r="AT147" t="str">
        <f t="shared" ref="AT147:AT210" si="168">COMPLEX(0,2*PI()*O147*wp0_ea)</f>
        <v>0,000275285249112658i</v>
      </c>
      <c r="AU147">
        <f t="shared" si="139"/>
        <v>0.000275285249112658</v>
      </c>
      <c r="AV147">
        <f t="shared" si="140"/>
        <v>1.5707963267949</v>
      </c>
      <c r="AW147" t="str">
        <f t="shared" ref="AW147:AW210" si="169">IMSUM(COMPLEX(1,0),IMDIV(COMPLEX(0,2*PI()*O147),COMPLEX(wp1_ea,0)))</f>
        <v>1+0,014094099831397i</v>
      </c>
      <c r="AX147">
        <f t="shared" si="141"/>
        <v>1.00009931689311</v>
      </c>
      <c r="AY147">
        <f t="shared" si="142"/>
        <v>0.0140931667081316</v>
      </c>
      <c r="AZ147" t="str">
        <f t="shared" ref="AZ147:AZ210" si="170">IMSUM(COMPLEX(1,0),IMDIV(COMPLEX(0,2*PI()*O147),COMPLEX(wz_ea,0)))</f>
        <v>1+0,673817921726575i</v>
      </c>
      <c r="BA147">
        <f t="shared" si="143"/>
        <v>1.20583190853449</v>
      </c>
      <c r="BB147">
        <f t="shared" si="144"/>
        <v>0.592937145404565</v>
      </c>
      <c r="BC147" s="30" t="str">
        <f t="shared" si="145"/>
        <v>-0,241278941448544+0,369200451738494i</v>
      </c>
      <c r="BD147" s="32">
        <f t="shared" si="146"/>
        <v>-7.11025689740398</v>
      </c>
      <c r="BE147" s="31">
        <f t="shared" si="147"/>
        <v>123.165316975866</v>
      </c>
      <c r="BF147" s="30" t="str">
        <f t="shared" si="148"/>
        <v>7,38173091438994+12,8167803248062i</v>
      </c>
      <c r="BG147" s="68">
        <f t="shared" si="149"/>
        <v>23.3996753588949</v>
      </c>
      <c r="BH147" s="31">
        <f t="shared" si="150"/>
        <v>60.0605232037685</v>
      </c>
      <c r="BI147" s="30" t="str">
        <f t="shared" si="156"/>
        <v>20,8918491601997+64,3560753867391i</v>
      </c>
      <c r="BJ147" s="68">
        <f t="shared" si="151"/>
        <v>36.6069227570689</v>
      </c>
      <c r="BK147" s="31">
        <f t="shared" si="157"/>
        <v>72.0150658644859</v>
      </c>
      <c r="BL147" s="32">
        <f t="shared" si="152"/>
        <v>23.3996753588949</v>
      </c>
      <c r="BM147" s="31">
        <f t="shared" si="153"/>
        <v>60.0605232037685</v>
      </c>
      <c r="BO147">
        <f t="shared" si="154"/>
        <v>0</v>
      </c>
      <c r="BP147">
        <f t="shared" si="155"/>
        <v>0</v>
      </c>
    </row>
    <row r="148" spans="14:68">
      <c r="N148" s="7">
        <v>30</v>
      </c>
      <c r="O148" s="18">
        <f t="shared" si="158"/>
        <v>199.526231496888</v>
      </c>
      <c r="P148" s="86" t="str">
        <f t="shared" si="159"/>
        <v>75</v>
      </c>
      <c r="Q148" s="4" t="str">
        <f t="shared" si="160"/>
        <v>1+2,04764513402566i</v>
      </c>
      <c r="R148" s="4">
        <f t="shared" ref="R148:R211" si="171">IMABS(Q148)</f>
        <v>2.2787827002369</v>
      </c>
      <c r="S148" s="4">
        <f t="shared" ref="S148:S211" si="172">IMARGUMENT(Q148)</f>
        <v>1.11649926367668</v>
      </c>
      <c r="T148" s="4" t="str">
        <f t="shared" si="161"/>
        <v>1+0,0196573932866464i</v>
      </c>
      <c r="U148" s="4">
        <f t="shared" ref="U148:U211" si="173">IMABS(T148)</f>
        <v>1.00019318789463</v>
      </c>
      <c r="V148" s="4">
        <f t="shared" ref="V148:V211" si="174">IMARGUMENT(T148)</f>
        <v>0.01965486191535</v>
      </c>
      <c r="W148" t="str">
        <f t="shared" si="162"/>
        <v>1-0,0103113558534864i</v>
      </c>
      <c r="X148" s="4">
        <f t="shared" ref="X148:X211" si="175">IMABS(W148)</f>
        <v>1.00005316061674</v>
      </c>
      <c r="Y148" s="4">
        <f t="shared" ref="Y148:Y211" si="176">IMARGUMENT(W148)</f>
        <v>-0.0103109904283936</v>
      </c>
      <c r="Z148" t="str">
        <f t="shared" si="163"/>
        <v>0,999999675014555+0,00323572278342639i</v>
      </c>
      <c r="AA148" s="4">
        <f t="shared" ref="AA148:AA211" si="177">IMABS(Z148)</f>
        <v>1.00000490995352</v>
      </c>
      <c r="AB148" s="4">
        <f t="shared" ref="AB148:AB211" si="178">IMARGUMENT(Z148)</f>
        <v>0.00323571254248273</v>
      </c>
      <c r="AC148" s="67" t="str">
        <f t="shared" ref="AC148:AC211" si="179">(IMDIV(IMPRODUCT(P148,T148,W148),IMPRODUCT(Q148,Z148)))</f>
        <v>14,6268372337385-29,4923524063162i</v>
      </c>
      <c r="AD148" s="68">
        <f t="shared" ref="AD148:AD211" si="180">20*LOG(IMABS(AC148))</f>
        <v>30.3492639267217</v>
      </c>
      <c r="AE148" s="31">
        <f t="shared" ref="AE148:AE211" si="181">(180/PI())*IMARGUMENT(AC148)</f>
        <v>-63.6207239100244</v>
      </c>
      <c r="AF148" s="32" t="str">
        <f t="shared" ref="AF148:AF211" si="182">COMPLEX($B$68,0)</f>
        <v>249,914648392112</v>
      </c>
      <c r="AG148" s="32" t="str">
        <f t="shared" si="164"/>
        <v>1+1,31634330044507i</v>
      </c>
      <c r="AH148" s="32">
        <f t="shared" ref="AH148:AH211" si="183">IMABS(AG148)</f>
        <v>1.65310607180139</v>
      </c>
      <c r="AI148" s="32">
        <f t="shared" ref="AI148:AI211" si="184">IMARGUMENT(AG148)</f>
        <v>0.92112859353899</v>
      </c>
      <c r="AJ148" s="32" t="str">
        <f t="shared" si="165"/>
        <v>1+0,0196573932866464i</v>
      </c>
      <c r="AK148" s="32">
        <f t="shared" ref="AK148:AK211" si="185">IMABS(AJ148)</f>
        <v>1.00019318789463</v>
      </c>
      <c r="AL148" s="32">
        <f t="shared" ref="AL148:AL211" si="186">IMARGUMENT(AJ148)</f>
        <v>0.01965486191535</v>
      </c>
      <c r="AM148" s="32" t="str">
        <f t="shared" si="166"/>
        <v>1-0,00198927768629471i</v>
      </c>
      <c r="AN148" s="32">
        <f t="shared" ref="AN148:AN211" si="187">IMABS(AM148)</f>
        <v>1.0000019786109</v>
      </c>
      <c r="AO148" s="32">
        <f t="shared" ref="AO148:AO211" si="188">IMARGUMENT(AM148)</f>
        <v>-0.001989275062294</v>
      </c>
      <c r="AP148" s="30" t="str">
        <f t="shared" ref="AP148:AP211" si="189">(IMDIV(IMPRODUCT(AF148,AJ148,AM148),IMPRODUCT(AG148)))</f>
        <v>93,5818703154637-118,770347134867i</v>
      </c>
      <c r="AQ148" s="32">
        <f t="shared" ref="AQ148:AQ211" si="190">20*LOG(IMABS(AP148))</f>
        <v>43.5915148604453</v>
      </c>
      <c r="AR148" s="31">
        <f t="shared" ref="AR148:AR211" si="191">(180/PI())*IMARGUMENT(AP148)</f>
        <v>-51.7646172293037</v>
      </c>
      <c r="AS148" t="str">
        <f t="shared" si="167"/>
        <v>-0,000100699300699301</v>
      </c>
      <c r="AT148" t="str">
        <f t="shared" si="168"/>
        <v>0,000281697466295244i</v>
      </c>
      <c r="AU148">
        <f t="shared" ref="AU148:AU211" si="192">IMABS(AT148)</f>
        <v>0.000281697466295244</v>
      </c>
      <c r="AV148">
        <f t="shared" ref="AV148:AV211" si="193">IMARGUMENT(AT148)</f>
        <v>1.5707963267949</v>
      </c>
      <c r="AW148" t="str">
        <f t="shared" si="169"/>
        <v>1+0,0144223935899739i</v>
      </c>
      <c r="AX148">
        <f t="shared" ref="AX148:AX211" si="194">IMABS(AW148)</f>
        <v>1.00010399731071</v>
      </c>
      <c r="AY148">
        <f t="shared" ref="AY148:AY211" si="195">IMARGUMENT(AW148)</f>
        <v>0.0144213937359962</v>
      </c>
      <c r="AZ148" t="str">
        <f t="shared" si="170"/>
        <v>1+0,689513157375987i</v>
      </c>
      <c r="BA148">
        <f t="shared" ref="BA148:BA211" si="196">IMABS(AZ148)</f>
        <v>1.21467213444394</v>
      </c>
      <c r="BB148">
        <f t="shared" ref="BB148:BB211" si="197">IMARGUMENT(AZ148)</f>
        <v>0.603653086359425</v>
      </c>
      <c r="BC148" s="30" t="str">
        <f t="shared" ref="BC148:BC211" si="198">IMPRODUCT(AS148,IMDIV(AZ148,IMPRODUCT(AT148,AW148)))</f>
        <v>-0,24127668311628+0,360953008554944i</v>
      </c>
      <c r="BD148" s="32">
        <f t="shared" ref="BD148:BD211" si="199">20*LOG(IMABS(BC148))</f>
        <v>-7.24685161438662</v>
      </c>
      <c r="BE148" s="31">
        <f t="shared" ref="BE148:BE211" si="200">(180/PI())*IMARGUMENT(BC148)</f>
        <v>123.760489142672</v>
      </c>
      <c r="BF148" s="30" t="str">
        <f t="shared" ref="BF148:BF211" si="201">IMPRODUCT(AC148,BC148)</f>
        <v>7,11623855818435+12,3954178710538i</v>
      </c>
      <c r="BG148" s="68">
        <f t="shared" ref="BG148:BG211" si="202">20*LOG(IMABS(BF148))</f>
        <v>23.102412312335</v>
      </c>
      <c r="BH148" s="31">
        <f t="shared" ref="BH148:BH211" si="203">(180/PI())*IMARGUMENT(BF148)</f>
        <v>60.1397652326479</v>
      </c>
      <c r="BI148" s="30" t="str">
        <f t="shared" si="156"/>
        <v>20,2913908559124+62,4351730458351i</v>
      </c>
      <c r="BJ148" s="68">
        <f t="shared" ref="BJ148:BJ211" si="204">20*LOG(IMABS(BI148))</f>
        <v>36.3446632460586</v>
      </c>
      <c r="BK148" s="31">
        <f t="shared" si="157"/>
        <v>71.9958719133685</v>
      </c>
      <c r="BL148" s="32">
        <f t="shared" ref="BL148:BL211" si="205">IF($B$31=0,BJ148,BG148)</f>
        <v>23.102412312335</v>
      </c>
      <c r="BM148" s="31">
        <f t="shared" ref="BM148:BM211" si="206">IF($B$31=0,BK148,BH148)</f>
        <v>60.1397652326479</v>
      </c>
      <c r="BO148">
        <f t="shared" ref="BO148:BO211" si="207">SUM((BL149&lt;0)*(BL148&gt;0))*O148</f>
        <v>0</v>
      </c>
      <c r="BP148">
        <f t="shared" ref="BP148:BP211" si="208">IF(BO148&gt;0,BM148,0)</f>
        <v>0</v>
      </c>
    </row>
    <row r="149" spans="14:68">
      <c r="N149" s="7">
        <v>31</v>
      </c>
      <c r="O149" s="18">
        <f t="shared" si="158"/>
        <v>204.173794466953</v>
      </c>
      <c r="P149" s="86" t="str">
        <f t="shared" si="159"/>
        <v>75</v>
      </c>
      <c r="Q149" s="4" t="str">
        <f t="shared" si="160"/>
        <v>1+2,09534091632624i</v>
      </c>
      <c r="R149" s="4">
        <f t="shared" si="171"/>
        <v>2.32173503131406</v>
      </c>
      <c r="S149" s="4">
        <f t="shared" si="172"/>
        <v>1.1255143583332</v>
      </c>
      <c r="T149" s="4" t="str">
        <f t="shared" si="161"/>
        <v>1+0,0201152727967319i</v>
      </c>
      <c r="U149" s="4">
        <f t="shared" si="173"/>
        <v>1.00020229163889</v>
      </c>
      <c r="V149" s="4">
        <f t="shared" si="174"/>
        <v>0.0201125604131468</v>
      </c>
      <c r="W149" t="str">
        <f t="shared" si="162"/>
        <v>1-0,0105515381857857i</v>
      </c>
      <c r="X149" s="4">
        <f t="shared" si="175"/>
        <v>1.0000556659297</v>
      </c>
      <c r="Y149" s="4">
        <f t="shared" si="176"/>
        <v>-0.0105511466269213</v>
      </c>
      <c r="Z149" t="str">
        <f t="shared" si="163"/>
        <v>0,999999659698462+0,00331109244924339i</v>
      </c>
      <c r="AA149" s="4">
        <f t="shared" si="177"/>
        <v>1.00000514135191</v>
      </c>
      <c r="AB149" s="4">
        <f t="shared" si="178"/>
        <v>0.0033110814758776</v>
      </c>
      <c r="AC149" s="67" t="str">
        <f t="shared" si="179"/>
        <v>14,0989957581188-29,0733123022588i</v>
      </c>
      <c r="AD149" s="68">
        <f t="shared" si="180"/>
        <v>30.1871679256212</v>
      </c>
      <c r="AE149" s="31">
        <f t="shared" si="181"/>
        <v>-64.1291048519302</v>
      </c>
      <c r="AF149" s="32" t="str">
        <f t="shared" si="182"/>
        <v>249,914648392112</v>
      </c>
      <c r="AG149" s="32" t="str">
        <f t="shared" si="164"/>
        <v>1+1,34700487478115i</v>
      </c>
      <c r="AH149" s="32">
        <f t="shared" si="183"/>
        <v>1.67762395449164</v>
      </c>
      <c r="AI149" s="32">
        <f t="shared" si="184"/>
        <v>0.932184846296067</v>
      </c>
      <c r="AJ149" s="32" t="str">
        <f t="shared" si="165"/>
        <v>1+0,0201152727967319i</v>
      </c>
      <c r="AK149" s="32">
        <f t="shared" si="185"/>
        <v>1.00020229163889</v>
      </c>
      <c r="AL149" s="32">
        <f t="shared" si="186"/>
        <v>0.0201125604131468</v>
      </c>
      <c r="AM149" s="32" t="str">
        <f t="shared" si="166"/>
        <v>1-0,00203561391608584i</v>
      </c>
      <c r="AN149" s="32">
        <f t="shared" si="187"/>
        <v>1.00000207185986</v>
      </c>
      <c r="AO149" s="32">
        <f t="shared" si="188"/>
        <v>-0.00203561110441874</v>
      </c>
      <c r="AP149" s="30" t="str">
        <f t="shared" si="189"/>
        <v>90,9640196533504-118,010606310545i</v>
      </c>
      <c r="AQ149" s="32">
        <f t="shared" si="190"/>
        <v>43.4637167753208</v>
      </c>
      <c r="AR149" s="31">
        <f t="shared" si="191"/>
        <v>-52.3745245169539</v>
      </c>
      <c r="AS149" t="str">
        <f t="shared" si="167"/>
        <v>-0,000100699300699301</v>
      </c>
      <c r="AT149" t="str">
        <f t="shared" si="168"/>
        <v>0,000288259043203168i</v>
      </c>
      <c r="AU149">
        <f t="shared" si="192"/>
        <v>0.000288259043203168</v>
      </c>
      <c r="AV149">
        <f t="shared" si="193"/>
        <v>1.5707963267949</v>
      </c>
      <c r="AW149" t="str">
        <f t="shared" si="169"/>
        <v>1+0,0147583342925352i</v>
      </c>
      <c r="AX149">
        <f t="shared" si="194"/>
        <v>1.00010889828613</v>
      </c>
      <c r="AY149">
        <f t="shared" si="195"/>
        <v>0.0147572629359961</v>
      </c>
      <c r="AZ149" t="str">
        <f t="shared" si="170"/>
        <v>1+0,705573982028222i</v>
      </c>
      <c r="BA149">
        <f t="shared" si="196"/>
        <v>1.22386054929275</v>
      </c>
      <c r="BB149">
        <f t="shared" si="197"/>
        <v>0.614457104019172</v>
      </c>
      <c r="BC149" s="30" t="str">
        <f t="shared" si="198"/>
        <v>-0,241274318397403+0,352896944364154i</v>
      </c>
      <c r="BD149" s="32">
        <f t="shared" si="199"/>
        <v>-7.3814368362775</v>
      </c>
      <c r="BE149" s="31">
        <f t="shared" si="200"/>
        <v>124.360269868732</v>
      </c>
      <c r="BF149" s="30" t="str">
        <f t="shared" si="201"/>
        <v>6,85815748238391+11,9901361309256i</v>
      </c>
      <c r="BG149" s="68">
        <f t="shared" si="202"/>
        <v>22.8057310893437</v>
      </c>
      <c r="BH149" s="31">
        <f t="shared" si="203"/>
        <v>60.231165016802</v>
      </c>
      <c r="BI149" s="30" t="str">
        <f t="shared" si="156"/>
        <v>19,6983005290024+60,5738531839892i</v>
      </c>
      <c r="BJ149" s="68">
        <f t="shared" si="204"/>
        <v>36.0822799390433</v>
      </c>
      <c r="BK149" s="31">
        <f t="shared" si="157"/>
        <v>71.9857453517783</v>
      </c>
      <c r="BL149" s="32">
        <f t="shared" si="205"/>
        <v>22.8057310893437</v>
      </c>
      <c r="BM149" s="31">
        <f t="shared" si="206"/>
        <v>60.231165016802</v>
      </c>
      <c r="BO149">
        <f t="shared" si="207"/>
        <v>0</v>
      </c>
      <c r="BP149">
        <f t="shared" si="208"/>
        <v>0</v>
      </c>
    </row>
    <row r="150" spans="14:68">
      <c r="N150" s="7">
        <v>32</v>
      </c>
      <c r="O150" s="18">
        <f t="shared" si="158"/>
        <v>208.929613085404</v>
      </c>
      <c r="P150" s="86" t="str">
        <f t="shared" si="159"/>
        <v>75</v>
      </c>
      <c r="Q150" s="4" t="str">
        <f t="shared" si="160"/>
        <v>1+2,14414767611578i</v>
      </c>
      <c r="R150" s="4">
        <f t="shared" si="171"/>
        <v>2.36587600203238</v>
      </c>
      <c r="S150" s="4">
        <f t="shared" si="172"/>
        <v>1.13439984169211</v>
      </c>
      <c r="T150" s="4" t="str">
        <f t="shared" si="161"/>
        <v>1+0,0205838176907116i</v>
      </c>
      <c r="U150" s="4">
        <f t="shared" si="173"/>
        <v>1.00021182434059</v>
      </c>
      <c r="V150" s="4">
        <f t="shared" si="174"/>
        <v>0.0205809113525789</v>
      </c>
      <c r="W150" t="str">
        <f t="shared" si="162"/>
        <v>1-0,0107973150832973i</v>
      </c>
      <c r="X150" s="4">
        <f t="shared" si="175"/>
        <v>1.00005828930768</v>
      </c>
      <c r="Y150" s="4">
        <f t="shared" si="176"/>
        <v>-0.0107968955217357</v>
      </c>
      <c r="Z150" t="str">
        <f t="shared" si="163"/>
        <v>0,999999643660545+0,0033882177001045i</v>
      </c>
      <c r="AA150" s="4">
        <f t="shared" si="177"/>
        <v>1.00000538365571</v>
      </c>
      <c r="AB150" s="4">
        <f t="shared" si="178"/>
        <v>0.00338820594193463</v>
      </c>
      <c r="AC150" s="67" t="str">
        <f t="shared" si="179"/>
        <v>13,5862223897607-28,651057701315i</v>
      </c>
      <c r="AD150" s="68">
        <f t="shared" si="180"/>
        <v>30.0236848924084</v>
      </c>
      <c r="AE150" s="31">
        <f t="shared" si="181"/>
        <v>-64.6298702960641</v>
      </c>
      <c r="AF150" s="32" t="str">
        <f t="shared" si="182"/>
        <v>249,914648392112</v>
      </c>
      <c r="AG150" s="32" t="str">
        <f t="shared" si="164"/>
        <v>1+1,37838064893158i</v>
      </c>
      <c r="AH150" s="32">
        <f t="shared" si="183"/>
        <v>1.70291902724382</v>
      </c>
      <c r="AI150" s="32">
        <f t="shared" si="184"/>
        <v>0.943167683961659</v>
      </c>
      <c r="AJ150" s="32" t="str">
        <f t="shared" si="165"/>
        <v>1+0,0205838176907116i</v>
      </c>
      <c r="AK150" s="32">
        <f t="shared" si="185"/>
        <v>1.00021182434059</v>
      </c>
      <c r="AL150" s="32">
        <f t="shared" si="186"/>
        <v>0.0205809113525789</v>
      </c>
      <c r="AM150" s="32" t="str">
        <f t="shared" si="166"/>
        <v>1-0,00208302945531984i</v>
      </c>
      <c r="AN150" s="32">
        <f t="shared" si="187"/>
        <v>1.0000021695035</v>
      </c>
      <c r="AO150" s="32">
        <f t="shared" si="188"/>
        <v>-0.00208302644256462</v>
      </c>
      <c r="AP150" s="30" t="str">
        <f t="shared" si="189"/>
        <v>88,3808179748578-117,198791246464i</v>
      </c>
      <c r="AQ150" s="32">
        <f t="shared" si="190"/>
        <v>43.3338128202455</v>
      </c>
      <c r="AR150" s="31">
        <f t="shared" si="191"/>
        <v>-52.9796769288693</v>
      </c>
      <c r="AS150" t="str">
        <f t="shared" si="167"/>
        <v>-0,000100699300699301</v>
      </c>
      <c r="AT150" t="str">
        <f t="shared" si="168"/>
        <v>0,000294973458871357i</v>
      </c>
      <c r="AU150">
        <f t="shared" si="192"/>
        <v>0.000294973458871357</v>
      </c>
      <c r="AV150">
        <f t="shared" si="193"/>
        <v>1.5707963267949</v>
      </c>
      <c r="AW150" t="str">
        <f t="shared" si="169"/>
        <v>1+0,0151021000592881i</v>
      </c>
      <c r="AX150">
        <f t="shared" si="194"/>
        <v>1.00011403021166</v>
      </c>
      <c r="AY150">
        <f t="shared" si="195"/>
        <v>0.0151009520871427</v>
      </c>
      <c r="AZ150" t="str">
        <f t="shared" si="170"/>
        <v>1+0,722008911345111i</v>
      </c>
      <c r="BA150">
        <f t="shared" si="196"/>
        <v>1.23340863790625</v>
      </c>
      <c r="BB150">
        <f t="shared" si="197"/>
        <v>0.625344837963586</v>
      </c>
      <c r="BC150" s="30" t="str">
        <f t="shared" si="198"/>
        <v>-0,241271842282442+0,345027987514782i</v>
      </c>
      <c r="BD150" s="32">
        <f t="shared" si="199"/>
        <v>-7.51398040857106</v>
      </c>
      <c r="BE150" s="31">
        <f t="shared" si="200"/>
        <v>124.964399134383</v>
      </c>
      <c r="BF150" s="30" t="str">
        <f t="shared" si="201"/>
        <v>6,60744387321808+11,6003204440042i</v>
      </c>
      <c r="BG150" s="68">
        <f t="shared" si="202"/>
        <v>22.5097044838373</v>
      </c>
      <c r="BH150" s="31">
        <f t="shared" si="203"/>
        <v>60.3345288383192</v>
      </c>
      <c r="BI150" s="30" t="str">
        <f t="shared" si="156"/>
        <v>19,1130603077094+58,7706240380852i</v>
      </c>
      <c r="BJ150" s="68">
        <f t="shared" si="204"/>
        <v>35.8198324116745</v>
      </c>
      <c r="BK150" s="31">
        <f t="shared" si="157"/>
        <v>71.984722205514</v>
      </c>
      <c r="BL150" s="32">
        <f t="shared" si="205"/>
        <v>22.5097044838373</v>
      </c>
      <c r="BM150" s="31">
        <f t="shared" si="206"/>
        <v>60.3345288383192</v>
      </c>
      <c r="BO150">
        <f t="shared" si="207"/>
        <v>0</v>
      </c>
      <c r="BP150">
        <f t="shared" si="208"/>
        <v>0</v>
      </c>
    </row>
    <row r="151" spans="14:68">
      <c r="N151" s="7">
        <v>33</v>
      </c>
      <c r="O151" s="18">
        <f t="shared" si="158"/>
        <v>213.796208950223</v>
      </c>
      <c r="P151" s="86" t="str">
        <f t="shared" si="159"/>
        <v>75</v>
      </c>
      <c r="Q151" s="4" t="str">
        <f t="shared" si="160"/>
        <v>1+2,19409129138434i</v>
      </c>
      <c r="R151" s="4">
        <f t="shared" si="171"/>
        <v>2.41123134413283</v>
      </c>
      <c r="S151" s="4">
        <f t="shared" si="172"/>
        <v>1.14315481174634</v>
      </c>
      <c r="T151" s="4" t="str">
        <f t="shared" si="161"/>
        <v>1+0,0210632763972897i</v>
      </c>
      <c r="U151" s="4">
        <f t="shared" si="173"/>
        <v>1.0002218062073</v>
      </c>
      <c r="V151" s="4">
        <f t="shared" si="174"/>
        <v>0.0210601622371701</v>
      </c>
      <c r="W151" t="str">
        <f t="shared" si="162"/>
        <v>1-0,0110488168601854i</v>
      </c>
      <c r="X151" s="4">
        <f t="shared" si="175"/>
        <v>1.00006103631429</v>
      </c>
      <c r="Y151" s="4">
        <f t="shared" si="176"/>
        <v>-0.0110483672933544</v>
      </c>
      <c r="Z151" t="str">
        <f t="shared" si="163"/>
        <v>0,999999626866784+0,00346713942883854i</v>
      </c>
      <c r="AA151" s="4">
        <f t="shared" si="177"/>
        <v>1.00000563737887</v>
      </c>
      <c r="AB151" s="4">
        <f t="shared" si="178"/>
        <v>0.00346712682973636</v>
      </c>
      <c r="AC151" s="67" t="str">
        <f t="shared" si="179"/>
        <v>13,0884015243162-28,2261651270701i</v>
      </c>
      <c r="AD151" s="68">
        <f t="shared" si="180"/>
        <v>29.8588552014801</v>
      </c>
      <c r="AE151" s="31">
        <f t="shared" si="181"/>
        <v>-65.1229641818869</v>
      </c>
      <c r="AF151" s="32" t="str">
        <f t="shared" si="182"/>
        <v>249,914648392112</v>
      </c>
      <c r="AG151" s="32" t="str">
        <f t="shared" si="164"/>
        <v>1+1,41048725874708i</v>
      </c>
      <c r="AH151" s="32">
        <f t="shared" si="183"/>
        <v>1.72900963186671</v>
      </c>
      <c r="AI151" s="32">
        <f t="shared" si="184"/>
        <v>0.954072331848102</v>
      </c>
      <c r="AJ151" s="32" t="str">
        <f t="shared" si="165"/>
        <v>1+0,0210632763972897i</v>
      </c>
      <c r="AK151" s="32">
        <f t="shared" si="185"/>
        <v>1.0002218062073</v>
      </c>
      <c r="AL151" s="32">
        <f t="shared" si="186"/>
        <v>0.0210601622371701</v>
      </c>
      <c r="AM151" s="32" t="str">
        <f t="shared" si="166"/>
        <v>1-0,00213154944434318i</v>
      </c>
      <c r="AN151" s="32">
        <f t="shared" si="187"/>
        <v>1.00000227174894</v>
      </c>
      <c r="AO151" s="32">
        <f t="shared" si="188"/>
        <v>-0.00213154621611819</v>
      </c>
      <c r="AP151" s="30" t="str">
        <f t="shared" si="189"/>
        <v>85,8342649335373-116,336821167775i</v>
      </c>
      <c r="AQ151" s="32">
        <f t="shared" si="190"/>
        <v>43.2018320988119</v>
      </c>
      <c r="AR151" s="31">
        <f t="shared" si="191"/>
        <v>-53.5797881550713</v>
      </c>
      <c r="AS151" t="str">
        <f t="shared" si="167"/>
        <v>-0,000100699300699301</v>
      </c>
      <c r="AT151" t="str">
        <f t="shared" si="168"/>
        <v>0,000301844273371874i</v>
      </c>
      <c r="AU151">
        <f t="shared" si="192"/>
        <v>0.000301844273371874</v>
      </c>
      <c r="AV151">
        <f t="shared" si="193"/>
        <v>1.5707963267949</v>
      </c>
      <c r="AW151" t="str">
        <f t="shared" si="169"/>
        <v>1+0,0154538731593922i</v>
      </c>
      <c r="AX151">
        <f t="shared" si="194"/>
        <v>1.00011940396916</v>
      </c>
      <c r="AY151">
        <f t="shared" si="195"/>
        <v>0.0154526430930081</v>
      </c>
      <c r="AZ151" t="str">
        <f t="shared" si="170"/>
        <v>1+0,738826659343706i</v>
      </c>
      <c r="BA151">
        <f t="shared" si="196"/>
        <v>1.24332812746957</v>
      </c>
      <c r="BB151">
        <f t="shared" si="197"/>
        <v>0.636311735907456</v>
      </c>
      <c r="BC151" s="30" t="str">
        <f t="shared" si="198"/>
        <v>-0,241269249526248+0,337341965546583i</v>
      </c>
      <c r="BD151" s="32">
        <f t="shared" si="199"/>
        <v>-7.64445161703063</v>
      </c>
      <c r="BE151" s="31">
        <f t="shared" si="200"/>
        <v>125.572605690589</v>
      </c>
      <c r="BF151" s="30" t="str">
        <f t="shared" si="201"/>
        <v>6,36404121053827+11,2253727732879i</v>
      </c>
      <c r="BG151" s="68">
        <f t="shared" si="202"/>
        <v>22.2144035844495</v>
      </c>
      <c r="BH151" s="31">
        <f t="shared" si="203"/>
        <v>60.4496415087022</v>
      </c>
      <c r="BI151" s="30" t="str">
        <f t="shared" si="156"/>
        <v>18,5361232340269+57,023997179344i</v>
      </c>
      <c r="BJ151" s="68">
        <f t="shared" si="204"/>
        <v>35.5573804817813</v>
      </c>
      <c r="BK151" s="31">
        <f t="shared" si="157"/>
        <v>71.9928175355176</v>
      </c>
      <c r="BL151" s="32">
        <f t="shared" si="205"/>
        <v>22.2144035844495</v>
      </c>
      <c r="BM151" s="31">
        <f t="shared" si="206"/>
        <v>60.4496415087022</v>
      </c>
      <c r="BO151">
        <f t="shared" si="207"/>
        <v>0</v>
      </c>
      <c r="BP151">
        <f t="shared" si="208"/>
        <v>0</v>
      </c>
    </row>
    <row r="152" spans="14:68">
      <c r="N152" s="7">
        <v>34</v>
      </c>
      <c r="O152" s="18">
        <f t="shared" si="158"/>
        <v>218.776162394955</v>
      </c>
      <c r="P152" s="86" t="str">
        <f t="shared" si="159"/>
        <v>75</v>
      </c>
      <c r="Q152" s="4" t="str">
        <f t="shared" si="160"/>
        <v>1+2,24519824289783i</v>
      </c>
      <c r="R152" s="4">
        <f t="shared" si="171"/>
        <v>2.45782732304601</v>
      </c>
      <c r="S152" s="4">
        <f t="shared" si="172"/>
        <v>1.15177854095852</v>
      </c>
      <c r="T152" s="4" t="str">
        <f t="shared" si="161"/>
        <v>1+0,0215539031318192i</v>
      </c>
      <c r="U152" s="4">
        <f t="shared" si="173"/>
        <v>1.00023225839813</v>
      </c>
      <c r="V152" s="4">
        <f t="shared" si="174"/>
        <v>0.0215505662909782</v>
      </c>
      <c r="W152" t="str">
        <f t="shared" si="162"/>
        <v>1-0,0113061768660212i</v>
      </c>
      <c r="X152" s="4">
        <f t="shared" si="175"/>
        <v>1.00006391277524</v>
      </c>
      <c r="Y152" s="4">
        <f t="shared" si="176"/>
        <v>-0.0113056951481454</v>
      </c>
      <c r="Z152" t="str">
        <f t="shared" si="163"/>
        <v>0,999999609281557+0,00354789948079078i</v>
      </c>
      <c r="AA152" s="4">
        <f t="shared" si="177"/>
        <v>1.00000590305957</v>
      </c>
      <c r="AB152" s="4">
        <f t="shared" si="178"/>
        <v>0.00354788598061386</v>
      </c>
      <c r="AC152" s="67" t="str">
        <f t="shared" si="179"/>
        <v>12,6053934262874-27,799191239427i</v>
      </c>
      <c r="AD152" s="68">
        <f t="shared" si="180"/>
        <v>29.6927188956527</v>
      </c>
      <c r="AE152" s="31">
        <f t="shared" si="181"/>
        <v>-65.608340345402</v>
      </c>
      <c r="AF152" s="32" t="str">
        <f t="shared" si="182"/>
        <v>249,914648392112</v>
      </c>
      <c r="AG152" s="32" t="str">
        <f t="shared" si="164"/>
        <v>1+1,44334172757718i</v>
      </c>
      <c r="AH152" s="32">
        <f t="shared" si="183"/>
        <v>1.75591438930418</v>
      </c>
      <c r="AI152" s="32">
        <f t="shared" si="184"/>
        <v>0.964894198462795</v>
      </c>
      <c r="AJ152" s="32" t="str">
        <f t="shared" si="165"/>
        <v>1+0,0215539031318192i</v>
      </c>
      <c r="AK152" s="32">
        <f t="shared" si="185"/>
        <v>1.00023225839813</v>
      </c>
      <c r="AL152" s="32">
        <f t="shared" si="186"/>
        <v>0.0215505662909782</v>
      </c>
      <c r="AM152" s="32" t="str">
        <f t="shared" si="166"/>
        <v>1-0,00218119960909631i</v>
      </c>
      <c r="AN152" s="32">
        <f t="shared" si="187"/>
        <v>1.00000237881304</v>
      </c>
      <c r="AO152" s="32">
        <f t="shared" si="188"/>
        <v>-0.00218119614999136</v>
      </c>
      <c r="AP152" s="30" t="str">
        <f t="shared" si="189"/>
        <v>83,3262273117306-115,426698491316i</v>
      </c>
      <c r="AQ152" s="32">
        <f t="shared" si="190"/>
        <v>43.067805291405</v>
      </c>
      <c r="AR152" s="31">
        <f t="shared" si="191"/>
        <v>-54.1745820876713</v>
      </c>
      <c r="AS152" t="str">
        <f t="shared" si="167"/>
        <v>-0,000100699300699301</v>
      </c>
      <c r="AT152" t="str">
        <f t="shared" si="168"/>
        <v>0,000308875129701515i</v>
      </c>
      <c r="AU152">
        <f t="shared" si="192"/>
        <v>0.000308875129701515</v>
      </c>
      <c r="AV152">
        <f t="shared" si="193"/>
        <v>1.5707963267949</v>
      </c>
      <c r="AW152" t="str">
        <f t="shared" si="169"/>
        <v>1+0,0158138401076017i</v>
      </c>
      <c r="AX152">
        <f t="shared" si="194"/>
        <v>1.0001250309531</v>
      </c>
      <c r="AY152">
        <f t="shared" si="195"/>
        <v>0.0158125220766235</v>
      </c>
      <c r="AZ152" t="str">
        <f t="shared" si="170"/>
        <v>1+0,756036143016615i</v>
      </c>
      <c r="BA152">
        <f t="shared" si="196"/>
        <v>1.25363098619468</v>
      </c>
      <c r="BB152">
        <f t="shared" si="197"/>
        <v>0.6473530607696</v>
      </c>
      <c r="BC152" s="30" t="str">
        <f t="shared" si="198"/>
        <v>-0,241266534636944+0,329834802977002i</v>
      </c>
      <c r="BD152" s="32">
        <f t="shared" si="199"/>
        <v>-7.77282129774743</v>
      </c>
      <c r="BE152" s="31">
        <f t="shared" si="200"/>
        <v>126.184607458526</v>
      </c>
      <c r="BF152" s="30" t="str">
        <f t="shared" si="201"/>
        <v>6,12788117568073+10,8647119932533i</v>
      </c>
      <c r="BG152" s="68">
        <f t="shared" si="202"/>
        <v>21.9198975979053</v>
      </c>
      <c r="BH152" s="31">
        <f t="shared" si="203"/>
        <v>60.5762671131239</v>
      </c>
      <c r="BI152" s="30" t="str">
        <f t="shared" si="156"/>
        <v>17,9679122472975+55,3324893177647i</v>
      </c>
      <c r="BJ152" s="68">
        <f t="shared" si="204"/>
        <v>35.2949839936576</v>
      </c>
      <c r="BK152" s="31">
        <f t="shared" si="157"/>
        <v>72.0100253708547</v>
      </c>
      <c r="BL152" s="32">
        <f t="shared" si="205"/>
        <v>21.9198975979053</v>
      </c>
      <c r="BM152" s="31">
        <f t="shared" si="206"/>
        <v>60.5762671131239</v>
      </c>
      <c r="BO152">
        <f t="shared" si="207"/>
        <v>0</v>
      </c>
      <c r="BP152">
        <f t="shared" si="208"/>
        <v>0</v>
      </c>
    </row>
    <row r="153" spans="14:68">
      <c r="N153" s="7">
        <v>35</v>
      </c>
      <c r="O153" s="18">
        <f t="shared" si="158"/>
        <v>223.872113856834</v>
      </c>
      <c r="P153" s="86" t="str">
        <f t="shared" si="159"/>
        <v>75</v>
      </c>
      <c r="Q153" s="4" t="str">
        <f t="shared" si="160"/>
        <v>1+2,2974956282384i</v>
      </c>
      <c r="R153" s="4">
        <f t="shared" si="171"/>
        <v>2.50569075541547</v>
      </c>
      <c r="S153" s="4">
        <f t="shared" si="172"/>
        <v>1.16027047002058</v>
      </c>
      <c r="T153" s="4" t="str">
        <f t="shared" si="161"/>
        <v>1+0,0220559580310887i</v>
      </c>
      <c r="U153" s="4">
        <f t="shared" si="173"/>
        <v>1.00024320306847</v>
      </c>
      <c r="V153" s="4">
        <f t="shared" si="174"/>
        <v>0.0220523825886605</v>
      </c>
      <c r="W153" t="str">
        <f t="shared" si="162"/>
        <v>1-0,0115695315564862i</v>
      </c>
      <c r="X153" s="4">
        <f t="shared" si="175"/>
        <v>1.00006692479075</v>
      </c>
      <c r="Y153" s="4">
        <f t="shared" si="176"/>
        <v>-0.0115690153883482</v>
      </c>
      <c r="Z153" t="str">
        <f t="shared" si="163"/>
        <v>0,999999590867564+0,00363054067600971i</v>
      </c>
      <c r="AA153" s="4">
        <f t="shared" si="177"/>
        <v>1.00000618126134</v>
      </c>
      <c r="AB153" s="4">
        <f t="shared" si="178"/>
        <v>0.00363052621031434</v>
      </c>
      <c r="AC153" s="67" t="str">
        <f t="shared" si="179"/>
        <v>12,1370360825771-27,3706720644687i</v>
      </c>
      <c r="AD153" s="68">
        <f t="shared" si="180"/>
        <v>29.5253156245825</v>
      </c>
      <c r="AE153" s="31">
        <f t="shared" si="181"/>
        <v>-66.0859621594386</v>
      </c>
      <c r="AF153" s="32" t="str">
        <f t="shared" si="182"/>
        <v>249,914648392112</v>
      </c>
      <c r="AG153" s="32" t="str">
        <f t="shared" si="164"/>
        <v>1+1,47696147529611i</v>
      </c>
      <c r="AH153" s="32">
        <f t="shared" si="183"/>
        <v>1.7836522081137</v>
      </c>
      <c r="AI153" s="32">
        <f t="shared" si="184"/>
        <v>0.975628882783796</v>
      </c>
      <c r="AJ153" s="32" t="str">
        <f t="shared" si="165"/>
        <v>1+0,0220559580310887i</v>
      </c>
      <c r="AK153" s="32">
        <f t="shared" si="185"/>
        <v>1.00024320306847</v>
      </c>
      <c r="AL153" s="32">
        <f t="shared" si="186"/>
        <v>0.0220523825886605</v>
      </c>
      <c r="AM153" s="32" t="str">
        <f t="shared" si="166"/>
        <v>1-0,00223200627475377i</v>
      </c>
      <c r="AN153" s="32">
        <f t="shared" si="187"/>
        <v>1.0000024909229</v>
      </c>
      <c r="AO153" s="32">
        <f t="shared" si="188"/>
        <v>-0.00223200256825653</v>
      </c>
      <c r="AP153" s="30" t="str">
        <f t="shared" si="189"/>
        <v>80,8584354910282-114,470498240038i</v>
      </c>
      <c r="AQ153" s="32">
        <f t="shared" si="190"/>
        <v>42.9317645463161</v>
      </c>
      <c r="AR153" s="31">
        <f t="shared" si="191"/>
        <v>-54.7637932310607</v>
      </c>
      <c r="AS153" t="str">
        <f t="shared" si="167"/>
        <v>-0,000100699300699301</v>
      </c>
      <c r="AT153" t="str">
        <f t="shared" si="168"/>
        <v>0,00031606975571337i</v>
      </c>
      <c r="AU153">
        <f t="shared" si="192"/>
        <v>0.00031606975571337</v>
      </c>
      <c r="AV153">
        <f t="shared" si="193"/>
        <v>1.5707963267949</v>
      </c>
      <c r="AW153" t="str">
        <f t="shared" si="169"/>
        <v>1+0,016182191763157i</v>
      </c>
      <c r="AX153">
        <f t="shared" si="194"/>
        <v>1.0001309230947</v>
      </c>
      <c r="AY153">
        <f t="shared" si="195"/>
        <v>0.0161807794775039</v>
      </c>
      <c r="AZ153" t="str">
        <f t="shared" si="170"/>
        <v>1+0,773646487059869i</v>
      </c>
      <c r="BA153">
        <f t="shared" si="196"/>
        <v>1.26432942184388</v>
      </c>
      <c r="BB153">
        <f t="shared" si="197"/>
        <v>0.658463898726759</v>
      </c>
      <c r="BC153" s="30" t="str">
        <f t="shared" si="198"/>
        <v>-0,241263691864333+0,322502519139103i</v>
      </c>
      <c r="BD153" s="32">
        <f t="shared" si="199"/>
        <v>-7.8990619441204</v>
      </c>
      <c r="BE153" s="31">
        <f t="shared" si="200"/>
        <v>126.80011198548</v>
      </c>
      <c r="BF153" s="30" t="str">
        <f t="shared" si="201"/>
        <v>5,89888455774826+10,517774102595i</v>
      </c>
      <c r="BG153" s="68">
        <f t="shared" si="202"/>
        <v>21.6262536804622</v>
      </c>
      <c r="BH153" s="31">
        <f t="shared" si="203"/>
        <v>60.7141498260415</v>
      </c>
      <c r="BI153" s="30" t="str">
        <f t="shared" si="156"/>
        <v>17,408819384581+53,6946241544444i</v>
      </c>
      <c r="BJ153" s="68">
        <f t="shared" si="204"/>
        <v>35.0327026021957</v>
      </c>
      <c r="BK153" s="31">
        <f t="shared" si="157"/>
        <v>72.0363187544194</v>
      </c>
      <c r="BL153" s="32">
        <f t="shared" si="205"/>
        <v>21.6262536804622</v>
      </c>
      <c r="BM153" s="31">
        <f t="shared" si="206"/>
        <v>60.7141498260415</v>
      </c>
      <c r="BO153">
        <f t="shared" si="207"/>
        <v>0</v>
      </c>
      <c r="BP153">
        <f t="shared" si="208"/>
        <v>0</v>
      </c>
    </row>
    <row r="154" spans="14:68">
      <c r="N154" s="7">
        <v>36</v>
      </c>
      <c r="O154" s="18">
        <f t="shared" si="158"/>
        <v>229.086765276777</v>
      </c>
      <c r="P154" s="86" t="str">
        <f t="shared" si="159"/>
        <v>75</v>
      </c>
      <c r="Q154" s="4" t="str">
        <f t="shared" si="160"/>
        <v>1+2,35101117617202i</v>
      </c>
      <c r="R154" s="4">
        <f t="shared" si="171"/>
        <v>2.55484902694577</v>
      </c>
      <c r="S154" s="4">
        <f t="shared" si="172"/>
        <v>1.16863020140029</v>
      </c>
      <c r="T154" s="4" t="str">
        <f t="shared" si="161"/>
        <v>1+0,0225697072912514i</v>
      </c>
      <c r="U154" s="4">
        <f t="shared" si="173"/>
        <v>1.00025466341688</v>
      </c>
      <c r="V154" s="4">
        <f t="shared" si="174"/>
        <v>0.0225658761883434</v>
      </c>
      <c r="W154" t="str">
        <f t="shared" si="162"/>
        <v>1-0,0118390205657234i</v>
      </c>
      <c r="X154" s="4">
        <f t="shared" si="175"/>
        <v>1.00007007874846</v>
      </c>
      <c r="Y154" s="4">
        <f t="shared" si="176"/>
        <v>-0.011838467483692</v>
      </c>
      <c r="Z154" t="str">
        <f t="shared" si="163"/>
        <v>0,999999571585747+0,00371510683195096i</v>
      </c>
      <c r="AA154" s="4">
        <f t="shared" si="177"/>
        <v>1.00000647257428</v>
      </c>
      <c r="AB154" s="4">
        <f t="shared" si="178"/>
        <v>0.00371509133168452</v>
      </c>
      <c r="AC154" s="67" t="str">
        <f t="shared" si="179"/>
        <v>11,6831470401415-26,9411223789394i</v>
      </c>
      <c r="AD154" s="68">
        <f t="shared" si="180"/>
        <v>29.356684588148</v>
      </c>
      <c r="AE154" s="31">
        <f t="shared" si="181"/>
        <v>-66.555802161683</v>
      </c>
      <c r="AF154" s="32" t="str">
        <f t="shared" si="182"/>
        <v>249,914648392112</v>
      </c>
      <c r="AG154" s="32" t="str">
        <f t="shared" si="164"/>
        <v>1+1,51136432753916i</v>
      </c>
      <c r="AH154" s="32">
        <f t="shared" si="183"/>
        <v>1.81224229355732</v>
      </c>
      <c r="AI154" s="32">
        <f t="shared" si="184"/>
        <v>0.986272180543392</v>
      </c>
      <c r="AJ154" s="32" t="str">
        <f t="shared" si="165"/>
        <v>1+0,0225697072912514i</v>
      </c>
      <c r="AK154" s="32">
        <f t="shared" si="185"/>
        <v>1.00025466341688</v>
      </c>
      <c r="AL154" s="32">
        <f t="shared" si="186"/>
        <v>0.0225658761883434</v>
      </c>
      <c r="AM154" s="32" t="str">
        <f t="shared" si="166"/>
        <v>1-0,0022839963796822i</v>
      </c>
      <c r="AN154" s="32">
        <f t="shared" si="187"/>
        <v>1.00000260831633</v>
      </c>
      <c r="AO154" s="32">
        <f t="shared" si="188"/>
        <v>-0.00228399240809942</v>
      </c>
      <c r="AP154" s="30" t="str">
        <f t="shared" si="189"/>
        <v>78,4324808703339-113,470357397971i</v>
      </c>
      <c r="AQ154" s="32">
        <f t="shared" si="190"/>
        <v>42.7937433683954</v>
      </c>
      <c r="AR154" s="31">
        <f t="shared" si="191"/>
        <v>-55.3471670551182</v>
      </c>
      <c r="AS154" t="str">
        <f t="shared" si="167"/>
        <v>-0,000100699300699301</v>
      </c>
      <c r="AT154" t="str">
        <f t="shared" si="168"/>
        <v>0,00032343196609338i</v>
      </c>
      <c r="AU154">
        <f t="shared" si="192"/>
        <v>0.00032343196609338</v>
      </c>
      <c r="AV154">
        <f t="shared" si="193"/>
        <v>1.5707963267949</v>
      </c>
      <c r="AW154" t="str">
        <f t="shared" si="169"/>
        <v>1+0,0165591234309819i</v>
      </c>
      <c r="AX154">
        <f t="shared" si="194"/>
        <v>1.00013709288717</v>
      </c>
      <c r="AY154">
        <f t="shared" si="195"/>
        <v>0.0165576101508431</v>
      </c>
      <c r="AZ154" t="str">
        <f t="shared" si="170"/>
        <v>1+0,791667028710986i</v>
      </c>
      <c r="BA154">
        <f t="shared" si="196"/>
        <v>1.27543588013984</v>
      </c>
      <c r="BB154">
        <f t="shared" si="197"/>
        <v>0.669639168235326</v>
      </c>
      <c r="BC154" s="30" t="str">
        <f t="shared" si="198"/>
        <v>-0,241260715187779+0,315341226069676i</v>
      </c>
      <c r="BD154" s="32">
        <f t="shared" si="199"/>
        <v>-8.02314780998051</v>
      </c>
      <c r="BE154" s="31">
        <f t="shared" si="200"/>
        <v>127.418816956069</v>
      </c>
      <c r="BF154" s="30" t="str">
        <f t="shared" si="201"/>
        <v>5,67696215211942+10,1840123650949i</v>
      </c>
      <c r="BG154" s="68">
        <f t="shared" si="202"/>
        <v>21.3335367781675</v>
      </c>
      <c r="BH154" s="31">
        <f t="shared" si="203"/>
        <v>60.8630147943857</v>
      </c>
      <c r="BI154" s="30" t="str">
        <f t="shared" si="156"/>
        <v>16,859205195712+52,1089342597849i</v>
      </c>
      <c r="BJ154" s="68">
        <f t="shared" si="204"/>
        <v>34.7705955584149</v>
      </c>
      <c r="BK154" s="31">
        <f t="shared" si="157"/>
        <v>72.0716499009505</v>
      </c>
      <c r="BL154" s="32">
        <f t="shared" si="205"/>
        <v>21.3335367781675</v>
      </c>
      <c r="BM154" s="31">
        <f t="shared" si="206"/>
        <v>60.8630147943857</v>
      </c>
      <c r="BO154">
        <f t="shared" si="207"/>
        <v>0</v>
      </c>
      <c r="BP154">
        <f t="shared" si="208"/>
        <v>0</v>
      </c>
    </row>
    <row r="155" spans="14:68">
      <c r="N155" s="7">
        <v>37</v>
      </c>
      <c r="O155" s="18">
        <f t="shared" si="158"/>
        <v>234.422881531992</v>
      </c>
      <c r="P155" s="86" t="str">
        <f t="shared" si="159"/>
        <v>75</v>
      </c>
      <c r="Q155" s="4" t="str">
        <f t="shared" si="160"/>
        <v>1+2,40577326135057i</v>
      </c>
      <c r="R155" s="4">
        <f t="shared" si="171"/>
        <v>2.60533011056744</v>
      </c>
      <c r="S155" s="4">
        <f t="shared" si="172"/>
        <v>1.17685749272092</v>
      </c>
      <c r="T155" s="4" t="str">
        <f t="shared" si="161"/>
        <v>1+0,0230954233089655i</v>
      </c>
      <c r="U155" s="4">
        <f t="shared" si="173"/>
        <v>1.00026666373414</v>
      </c>
      <c r="V155" s="4">
        <f t="shared" si="174"/>
        <v>0.0230913182673437</v>
      </c>
      <c r="W155" t="str">
        <f t="shared" si="162"/>
        <v>1-0,0121147867803725i</v>
      </c>
      <c r="X155" s="4">
        <f t="shared" si="175"/>
        <v>1.00007338133696</v>
      </c>
      <c r="Y155" s="4">
        <f t="shared" si="176"/>
        <v>-0.012114194144647</v>
      </c>
      <c r="Z155" t="str">
        <f t="shared" si="163"/>
        <v>0,999999551395205+0,00380164278670978i</v>
      </c>
      <c r="AA155" s="4">
        <f t="shared" si="177"/>
        <v>1.00000677761628</v>
      </c>
      <c r="AB155" s="4">
        <f t="shared" si="178"/>
        <v>0.00380162617788113</v>
      </c>
      <c r="AC155" s="67" t="str">
        <f t="shared" si="179"/>
        <v>11,2435252163634-26,5110352413336i</v>
      </c>
      <c r="AD155" s="68">
        <f t="shared" si="180"/>
        <v>29.1868644847374</v>
      </c>
      <c r="AE155" s="31">
        <f t="shared" si="181"/>
        <v>-67.017841673114</v>
      </c>
      <c r="AF155" s="32" t="str">
        <f t="shared" si="182"/>
        <v>249,914648392112</v>
      </c>
      <c r="AG155" s="32" t="str">
        <f t="shared" si="164"/>
        <v>1+1,54656852515393i</v>
      </c>
      <c r="AH155" s="32">
        <f t="shared" si="183"/>
        <v>1.84170415729476</v>
      </c>
      <c r="AI155" s="32">
        <f t="shared" si="184"/>
        <v>0.996820089518259</v>
      </c>
      <c r="AJ155" s="32" t="str">
        <f t="shared" si="165"/>
        <v>1+0,0230954233089655i</v>
      </c>
      <c r="AK155" s="32">
        <f t="shared" si="185"/>
        <v>1.00026666373414</v>
      </c>
      <c r="AL155" s="32">
        <f t="shared" si="186"/>
        <v>0.0230913182673437</v>
      </c>
      <c r="AM155" s="32" t="str">
        <f t="shared" si="166"/>
        <v>1-0,00233719748972341i</v>
      </c>
      <c r="AN155" s="32">
        <f t="shared" si="187"/>
        <v>1.00000273124232</v>
      </c>
      <c r="AO155" s="32">
        <f t="shared" si="188"/>
        <v>-0.00233719323409641</v>
      </c>
      <c r="AP155" s="30" t="str">
        <f t="shared" si="189"/>
        <v>76,0498142122424-112,428464297598i</v>
      </c>
      <c r="AQ155" s="32">
        <f t="shared" si="190"/>
        <v>42.6537765060097</v>
      </c>
      <c r="AR155" s="31">
        <f t="shared" si="191"/>
        <v>-55.9244602913572</v>
      </c>
      <c r="AS155" t="str">
        <f t="shared" si="167"/>
        <v>-0,000100699300699301</v>
      </c>
      <c r="AT155" t="str">
        <f t="shared" si="168"/>
        <v>0,000330965664382943i</v>
      </c>
      <c r="AU155">
        <f t="shared" si="192"/>
        <v>0.000330965664382943</v>
      </c>
      <c r="AV155">
        <f t="shared" si="193"/>
        <v>1.5707963267949</v>
      </c>
      <c r="AW155" t="str">
        <f t="shared" si="169"/>
        <v>1+0,0169448349652359i</v>
      </c>
      <c r="AX155">
        <f t="shared" si="194"/>
        <v>1.00014355341221</v>
      </c>
      <c r="AY155">
        <f t="shared" si="195"/>
        <v>0.0169432134689226</v>
      </c>
      <c r="AZ155" t="str">
        <f t="shared" si="170"/>
        <v>1+0,81010732269968i</v>
      </c>
      <c r="BA155">
        <f t="shared" si="196"/>
        <v>1.28696304309473</v>
      </c>
      <c r="BB155">
        <f t="shared" si="197"/>
        <v>0.680873629994435</v>
      </c>
      <c r="BC155" s="30" t="str">
        <f t="shared" si="198"/>
        <v>-0,241257598303504+0,308347126446404i</v>
      </c>
      <c r="BD155" s="32">
        <f t="shared" si="199"/>
        <v>-8.14505500808818</v>
      </c>
      <c r="BE155" s="31">
        <f t="shared" si="200"/>
        <v>128.040410757275</v>
      </c>
      <c r="BF155" s="30" t="str">
        <f t="shared" si="201"/>
        <v>5,46201564561984+9,86289738245704i</v>
      </c>
      <c r="BG155" s="68">
        <f t="shared" si="202"/>
        <v>21.0418094766492</v>
      </c>
      <c r="BH155" s="31">
        <f t="shared" si="203"/>
        <v>61.0225690841606</v>
      </c>
      <c r="BI155" s="30" t="str">
        <f t="shared" si="156"/>
        <v>16,3193983686732+50,5739629565176i</v>
      </c>
      <c r="BJ155" s="68">
        <f t="shared" si="204"/>
        <v>34.5087214979216</v>
      </c>
      <c r="BK155" s="31">
        <f t="shared" si="157"/>
        <v>72.1159504659174</v>
      </c>
      <c r="BL155" s="32">
        <f t="shared" si="205"/>
        <v>21.0418094766492</v>
      </c>
      <c r="BM155" s="31">
        <f t="shared" si="206"/>
        <v>61.0225690841606</v>
      </c>
      <c r="BO155">
        <f t="shared" si="207"/>
        <v>0</v>
      </c>
      <c r="BP155">
        <f t="shared" si="208"/>
        <v>0</v>
      </c>
    </row>
    <row r="156" spans="14:68">
      <c r="N156" s="7">
        <v>38</v>
      </c>
      <c r="O156" s="18">
        <f t="shared" si="158"/>
        <v>239.883291901949</v>
      </c>
      <c r="P156" s="86" t="str">
        <f t="shared" si="159"/>
        <v>75</v>
      </c>
      <c r="Q156" s="4" t="str">
        <f t="shared" si="160"/>
        <v>1+2,46181091935646i</v>
      </c>
      <c r="R156" s="4">
        <f t="shared" si="171"/>
        <v>2.65716258491322</v>
      </c>
      <c r="S156" s="4">
        <f t="shared" si="172"/>
        <v>1.18495225001798</v>
      </c>
      <c r="T156" s="4" t="str">
        <f t="shared" si="161"/>
        <v>1+0,023633384825822i</v>
      </c>
      <c r="U156" s="4">
        <f t="shared" si="173"/>
        <v>1.00027922945462</v>
      </c>
      <c r="V156" s="4">
        <f t="shared" si="174"/>
        <v>0.0236289862607894</v>
      </c>
      <c r="W156" t="str">
        <f t="shared" si="162"/>
        <v>1-0,0123969764153307i</v>
      </c>
      <c r="X156" s="4">
        <f t="shared" si="175"/>
        <v>1.00007683955996</v>
      </c>
      <c r="Y156" s="4">
        <f t="shared" si="176"/>
        <v>-0.012396341397345</v>
      </c>
      <c r="Z156" t="str">
        <f t="shared" si="163"/>
        <v>0,999999530253112+0,00389019442279481i</v>
      </c>
      <c r="AA156" s="4">
        <f t="shared" si="177"/>
        <v>1.00000709703436</v>
      </c>
      <c r="AB156" s="4">
        <f t="shared" si="178"/>
        <v>0.00389017662612109</v>
      </c>
      <c r="AC156" s="67" t="str">
        <f t="shared" si="179"/>
        <v>10,8179526720435-26,0808816609794i</v>
      </c>
      <c r="AD156" s="68">
        <f t="shared" si="180"/>
        <v>29.0158934643556</v>
      </c>
      <c r="AE156" s="31">
        <f t="shared" si="181"/>
        <v>-67.4720704093533</v>
      </c>
      <c r="AF156" s="32" t="str">
        <f t="shared" si="182"/>
        <v>249,914648392112</v>
      </c>
      <c r="AG156" s="32" t="str">
        <f t="shared" si="164"/>
        <v>1+1,58259273387201i</v>
      </c>
      <c r="AH156" s="32">
        <f t="shared" si="183"/>
        <v>1.87205762766654</v>
      </c>
      <c r="AI156" s="32">
        <f t="shared" si="184"/>
        <v>1.00726881383349</v>
      </c>
      <c r="AJ156" s="32" t="str">
        <f t="shared" si="165"/>
        <v>1+0,023633384825822i</v>
      </c>
      <c r="AK156" s="32">
        <f t="shared" si="185"/>
        <v>1.00027922945462</v>
      </c>
      <c r="AL156" s="32">
        <f t="shared" si="186"/>
        <v>0.0236289862607894</v>
      </c>
      <c r="AM156" s="32" t="str">
        <f t="shared" si="166"/>
        <v>1-0,00239163781281015i</v>
      </c>
      <c r="AN156" s="32">
        <f t="shared" si="187"/>
        <v>1.00000285996162</v>
      </c>
      <c r="AO156" s="32">
        <f t="shared" si="188"/>
        <v>-0.00239163325282437</v>
      </c>
      <c r="AP156" s="30" t="str">
        <f t="shared" si="189"/>
        <v>73,7117448890396-111,34704812643i</v>
      </c>
      <c r="AQ156" s="32">
        <f t="shared" si="190"/>
        <v>42.5118998370436</v>
      </c>
      <c r="AR156" s="31">
        <f t="shared" si="191"/>
        <v>-56.4954411724218</v>
      </c>
      <c r="AS156" t="str">
        <f t="shared" si="167"/>
        <v>-0,000100699300699301</v>
      </c>
      <c r="AT156" t="str">
        <f t="shared" si="168"/>
        <v>0,00033867484504861i</v>
      </c>
      <c r="AU156">
        <f t="shared" si="192"/>
        <v>0.00033867484504861</v>
      </c>
      <c r="AV156">
        <f t="shared" si="193"/>
        <v>1.5707963267949</v>
      </c>
      <c r="AW156" t="str">
        <f t="shared" si="169"/>
        <v>1+0,0173395308752798i</v>
      </c>
      <c r="AX156">
        <f t="shared" si="194"/>
        <v>1.00015031836768</v>
      </c>
      <c r="AY156">
        <f t="shared" si="195"/>
        <v>0.01733779342478</v>
      </c>
      <c r="AZ156" t="str">
        <f t="shared" si="170"/>
        <v>1+0,828977146313909i</v>
      </c>
      <c r="BA156">
        <f t="shared" si="196"/>
        <v>1.29892382729348</v>
      </c>
      <c r="BB156">
        <f t="shared" si="197"/>
        <v>0.692161897814753</v>
      </c>
      <c r="BC156" s="30" t="str">
        <f t="shared" si="198"/>
        <v>-0,241254334611317+0,301516511573011i</v>
      </c>
      <c r="BD156" s="32">
        <f t="shared" si="199"/>
        <v>-8.26476160324414</v>
      </c>
      <c r="BE156" s="31">
        <f t="shared" si="200"/>
        <v>128.664573095241</v>
      </c>
      <c r="BF156" s="30" t="str">
        <f t="shared" si="201"/>
        <v>5,25393848341645+9,55391710323257i</v>
      </c>
      <c r="BG156" s="68">
        <f t="shared" si="202"/>
        <v>20.7511318611115</v>
      </c>
      <c r="BH156" s="31">
        <f t="shared" si="203"/>
        <v>61.1925026858878</v>
      </c>
      <c r="BI156" s="30" t="str">
        <f t="shared" si="156"/>
        <v>15,789695558789+49,0882661875791i</v>
      </c>
      <c r="BJ156" s="68">
        <f t="shared" si="204"/>
        <v>34.2471382337995</v>
      </c>
      <c r="BK156" s="31">
        <f t="shared" si="157"/>
        <v>72.1691319228192</v>
      </c>
      <c r="BL156" s="32">
        <f t="shared" si="205"/>
        <v>20.7511318611115</v>
      </c>
      <c r="BM156" s="31">
        <f t="shared" si="206"/>
        <v>61.1925026858878</v>
      </c>
      <c r="BO156">
        <f t="shared" si="207"/>
        <v>0</v>
      </c>
      <c r="BP156">
        <f t="shared" si="208"/>
        <v>0</v>
      </c>
    </row>
    <row r="157" spans="14:68">
      <c r="N157" s="7">
        <v>39</v>
      </c>
      <c r="O157" s="18">
        <f t="shared" si="158"/>
        <v>245.470891568503</v>
      </c>
      <c r="P157" s="86" t="str">
        <f t="shared" si="159"/>
        <v>75</v>
      </c>
      <c r="Q157" s="4" t="str">
        <f t="shared" si="160"/>
        <v>1+2,5191538620977i</v>
      </c>
      <c r="R157" s="4">
        <f t="shared" si="171"/>
        <v>2.71037565310083</v>
      </c>
      <c r="S157" s="4">
        <f t="shared" si="172"/>
        <v>1.19291452091418</v>
      </c>
      <c r="T157" s="4" t="str">
        <f t="shared" si="161"/>
        <v>1+0,0241838770761379i</v>
      </c>
      <c r="U157" s="4">
        <f t="shared" si="173"/>
        <v>1.00029238721008</v>
      </c>
      <c r="V157" s="4">
        <f t="shared" si="174"/>
        <v>0.0241791640031929</v>
      </c>
      <c r="W157" t="str">
        <f t="shared" si="162"/>
        <v>1-0,0126857390912777i</v>
      </c>
      <c r="X157" s="4">
        <f t="shared" si="175"/>
        <v>1.00008046075118</v>
      </c>
      <c r="Y157" s="4">
        <f t="shared" si="176"/>
        <v>-0.0126850586602035</v>
      </c>
      <c r="Z157" t="str">
        <f t="shared" si="163"/>
        <v>0,999999508114624+0,00398080869145559i</v>
      </c>
      <c r="AA157" s="4">
        <f t="shared" si="177"/>
        <v>1.00000743150605</v>
      </c>
      <c r="AB157" s="4">
        <f t="shared" si="178"/>
        <v>0.00398078962198377</v>
      </c>
      <c r="AC157" s="67" t="str">
        <f t="shared" si="179"/>
        <v>10,4061963381752-25,6511103960671i</v>
      </c>
      <c r="AD157" s="68">
        <f t="shared" si="180"/>
        <v>28.8438090864391</v>
      </c>
      <c r="AE157" s="31">
        <f t="shared" si="181"/>
        <v>-67.9184860872901</v>
      </c>
      <c r="AF157" s="32" t="str">
        <f t="shared" si="182"/>
        <v>249,914648392112</v>
      </c>
      <c r="AG157" s="32" t="str">
        <f t="shared" si="164"/>
        <v>1+1,61945605420566i</v>
      </c>
      <c r="AH157" s="32">
        <f t="shared" si="183"/>
        <v>1.90332286055292</v>
      </c>
      <c r="AI157" s="32">
        <f t="shared" si="184"/>
        <v>1.01761476729531</v>
      </c>
      <c r="AJ157" s="32" t="str">
        <f t="shared" si="165"/>
        <v>1+0,0241838770761379i</v>
      </c>
      <c r="AK157" s="32">
        <f t="shared" si="185"/>
        <v>1.00029238721008</v>
      </c>
      <c r="AL157" s="32">
        <f t="shared" si="186"/>
        <v>0.0241791640031929</v>
      </c>
      <c r="AM157" s="32" t="str">
        <f t="shared" si="166"/>
        <v>1-0,00244734621392229i</v>
      </c>
      <c r="AN157" s="32">
        <f t="shared" si="187"/>
        <v>1.00000299474726</v>
      </c>
      <c r="AO157" s="32">
        <f t="shared" si="188"/>
        <v>-0.00244734132781029</v>
      </c>
      <c r="AP157" s="30" t="str">
        <f t="shared" si="189"/>
        <v>71,4194409913515-110,228368633733i</v>
      </c>
      <c r="AQ157" s="32">
        <f t="shared" si="190"/>
        <v>42.3681502546642</v>
      </c>
      <c r="AR157" s="31">
        <f t="shared" si="191"/>
        <v>-57.0598896157824</v>
      </c>
      <c r="AS157" t="str">
        <f t="shared" si="167"/>
        <v>-0,000100699300699301</v>
      </c>
      <c r="AT157" t="str">
        <f t="shared" si="168"/>
        <v>0,000346563595600013i</v>
      </c>
      <c r="AU157">
        <f t="shared" si="192"/>
        <v>0.000346563595600013</v>
      </c>
      <c r="AV157">
        <f t="shared" si="193"/>
        <v>1.5707963267949</v>
      </c>
      <c r="AW157" t="str">
        <f t="shared" si="169"/>
        <v>1+0,0177434204341096i</v>
      </c>
      <c r="AX157">
        <f t="shared" si="194"/>
        <v>1.00015740209664</v>
      </c>
      <c r="AY157">
        <f t="shared" si="195"/>
        <v>0.0177415587381809</v>
      </c>
      <c r="AZ157" t="str">
        <f t="shared" si="170"/>
        <v>1+0,848286504583919i</v>
      </c>
      <c r="BA157">
        <f t="shared" si="196"/>
        <v>1.31133138216822</v>
      </c>
      <c r="BB157">
        <f t="shared" si="197"/>
        <v>0.703498450348004</v>
      </c>
      <c r="BC157" s="30" t="str">
        <f t="shared" si="198"/>
        <v>-0,241250917200695+0,294845759411269i</v>
      </c>
      <c r="BD157" s="32">
        <f t="shared" si="199"/>
        <v>-8.38224769927967</v>
      </c>
      <c r="BE157" s="31">
        <f t="shared" si="200"/>
        <v>129.290975661253</v>
      </c>
      <c r="BF157" s="30" t="str">
        <f t="shared" si="201"/>
        <v>5,05261671331542+9,2565767721795i</v>
      </c>
      <c r="BG157" s="68">
        <f t="shared" si="202"/>
        <v>20.4615613871594</v>
      </c>
      <c r="BH157" s="31">
        <f t="shared" si="203"/>
        <v>61.3724895739631</v>
      </c>
      <c r="BI157" s="30" t="str">
        <f t="shared" si="156"/>
        <v>15,2703614133539+47,6504143502478i</v>
      </c>
      <c r="BJ157" s="68">
        <f t="shared" si="204"/>
        <v>33.9859025553846</v>
      </c>
      <c r="BK157" s="31">
        <f t="shared" si="157"/>
        <v>72.2310860454708</v>
      </c>
      <c r="BL157" s="32">
        <f t="shared" si="205"/>
        <v>20.4615613871594</v>
      </c>
      <c r="BM157" s="31">
        <f t="shared" si="206"/>
        <v>61.3724895739631</v>
      </c>
      <c r="BO157">
        <f t="shared" si="207"/>
        <v>0</v>
      </c>
      <c r="BP157">
        <f t="shared" si="208"/>
        <v>0</v>
      </c>
    </row>
    <row r="158" spans="14:68">
      <c r="N158" s="7">
        <v>40</v>
      </c>
      <c r="O158" s="18">
        <f t="shared" si="158"/>
        <v>251.188643150958</v>
      </c>
      <c r="P158" s="86" t="str">
        <f t="shared" si="159"/>
        <v>75</v>
      </c>
      <c r="Q158" s="4" t="str">
        <f t="shared" si="160"/>
        <v>1+2,57783249356158i</v>
      </c>
      <c r="R158" s="4">
        <f t="shared" si="171"/>
        <v>2.76499916181939</v>
      </c>
      <c r="S158" s="4">
        <f t="shared" si="172"/>
        <v>1.20074448775079</v>
      </c>
      <c r="T158" s="4" t="str">
        <f t="shared" si="161"/>
        <v>1+0,0247471919381912i</v>
      </c>
      <c r="U158" s="4">
        <f t="shared" si="173"/>
        <v>1.00030616488594</v>
      </c>
      <c r="V158" s="4">
        <f t="shared" si="174"/>
        <v>0.0247421418730217</v>
      </c>
      <c r="W158" t="str">
        <f t="shared" si="162"/>
        <v>1-0,0129812279140065i</v>
      </c>
      <c r="X158" s="4">
        <f t="shared" si="175"/>
        <v>1.00008425258983</v>
      </c>
      <c r="Y158" s="4">
        <f t="shared" si="176"/>
        <v>-0.0129804988222919</v>
      </c>
      <c r="Z158" t="str">
        <f t="shared" si="163"/>
        <v>0,99999948493278+0,00407353363757684i</v>
      </c>
      <c r="AA158" s="4">
        <f t="shared" si="177"/>
        <v>1.00000778174078</v>
      </c>
      <c r="AB158" s="4">
        <f t="shared" si="178"/>
        <v>0.00407351320427822</v>
      </c>
      <c r="AC158" s="67" t="str">
        <f t="shared" si="179"/>
        <v>10,0080096889075-25,2221478712812i</v>
      </c>
      <c r="AD158" s="68">
        <f t="shared" si="180"/>
        <v>28.6706482822467</v>
      </c>
      <c r="AE158" s="31">
        <f t="shared" si="181"/>
        <v>-68.3570940291677</v>
      </c>
      <c r="AF158" s="32" t="str">
        <f t="shared" si="182"/>
        <v>249,914648392112</v>
      </c>
      <c r="AG158" s="32" t="str">
        <f t="shared" si="164"/>
        <v>1+1,6571780315753i</v>
      </c>
      <c r="AH158" s="32">
        <f t="shared" si="183"/>
        <v>1.9355203507935</v>
      </c>
      <c r="AI158" s="32">
        <f t="shared" si="184"/>
        <v>1.02785457577479</v>
      </c>
      <c r="AJ158" s="32" t="str">
        <f t="shared" si="165"/>
        <v>1+0,0247471919381912i</v>
      </c>
      <c r="AK158" s="32">
        <f t="shared" si="185"/>
        <v>1.00030616488594</v>
      </c>
      <c r="AL158" s="32">
        <f t="shared" si="186"/>
        <v>0.0247421418730217</v>
      </c>
      <c r="AM158" s="32" t="str">
        <f t="shared" si="166"/>
        <v>1-0,00250435223039152i</v>
      </c>
      <c r="AN158" s="32">
        <f t="shared" si="187"/>
        <v>1.00000313588513</v>
      </c>
      <c r="AO158" s="32">
        <f t="shared" si="188"/>
        <v>-0.00250434699482907</v>
      </c>
      <c r="AP158" s="30" t="str">
        <f t="shared" si="189"/>
        <v>69,1739302550597-109,07470611159i</v>
      </c>
      <c r="AQ158" s="32">
        <f t="shared" si="190"/>
        <v>42.2225655535308</v>
      </c>
      <c r="AR158" s="31">
        <f t="shared" si="191"/>
        <v>-57.6175973529069</v>
      </c>
      <c r="AS158" t="str">
        <f t="shared" si="167"/>
        <v>-0,000100699300699301</v>
      </c>
      <c r="AT158" t="str">
        <f t="shared" si="168"/>
        <v>0,000354636098757114i</v>
      </c>
      <c r="AU158">
        <f t="shared" si="192"/>
        <v>0.000354636098757114</v>
      </c>
      <c r="AV158">
        <f t="shared" si="193"/>
        <v>1.5707963267949</v>
      </c>
      <c r="AW158" t="str">
        <f t="shared" si="169"/>
        <v>1+0,0181567177893155i</v>
      </c>
      <c r="AX158">
        <f t="shared" si="194"/>
        <v>1.00016481961769</v>
      </c>
      <c r="AY158">
        <f t="shared" si="195"/>
        <v>0.0181547229639416</v>
      </c>
      <c r="AZ158" t="str">
        <f t="shared" si="170"/>
        <v>1+0,868045635587063i</v>
      </c>
      <c r="BA158">
        <f t="shared" si="196"/>
        <v>1.32419908830272</v>
      </c>
      <c r="BB158">
        <f t="shared" si="197"/>
        <v>0.71487764362323</v>
      </c>
      <c r="BC158" s="30" t="str">
        <f t="shared" si="198"/>
        <v>-0,241247338836241+0,288331332658857i</v>
      </c>
      <c r="BD158" s="32">
        <f t="shared" si="199"/>
        <v>-8.49749551922171</v>
      </c>
      <c r="BE158" s="31">
        <f t="shared" si="200"/>
        <v>129.919282843805</v>
      </c>
      <c r="BF158" s="30" t="str">
        <f t="shared" si="201"/>
        <v>4,85792980374901+8,9703988245462i</v>
      </c>
      <c r="BG158" s="68">
        <f t="shared" si="202"/>
        <v>20.173152763025</v>
      </c>
      <c r="BH158" s="31">
        <f t="shared" si="203"/>
        <v>61.5621888146377</v>
      </c>
      <c r="BI158" s="30" t="str">
        <f t="shared" si="156"/>
        <v>14,761628781651+46,2589940794584i</v>
      </c>
      <c r="BJ158" s="68">
        <f t="shared" si="204"/>
        <v>33.7250700343091</v>
      </c>
      <c r="BK158" s="31">
        <f t="shared" si="157"/>
        <v>72.3016854908986</v>
      </c>
      <c r="BL158" s="32">
        <f t="shared" si="205"/>
        <v>20.173152763025</v>
      </c>
      <c r="BM158" s="31">
        <f t="shared" si="206"/>
        <v>61.5621888146377</v>
      </c>
      <c r="BO158">
        <f t="shared" si="207"/>
        <v>0</v>
      </c>
      <c r="BP158">
        <f t="shared" si="208"/>
        <v>0</v>
      </c>
    </row>
    <row r="159" spans="14:68">
      <c r="N159" s="7">
        <v>41</v>
      </c>
      <c r="O159" s="18">
        <f t="shared" si="158"/>
        <v>257.039578276887</v>
      </c>
      <c r="P159" s="86" t="str">
        <f t="shared" si="159"/>
        <v>75</v>
      </c>
      <c r="Q159" s="4" t="str">
        <f t="shared" si="160"/>
        <v>1+2,63787792593518i</v>
      </c>
      <c r="R159" s="4">
        <f t="shared" si="171"/>
        <v>2.82106362071756</v>
      </c>
      <c r="S159" s="4">
        <f t="shared" si="172"/>
        <v>1.2084424607108</v>
      </c>
      <c r="T159" s="4" t="str">
        <f t="shared" si="161"/>
        <v>1+0,0253236280889778i</v>
      </c>
      <c r="U159" s="4">
        <f t="shared" si="173"/>
        <v>1.00032059168028</v>
      </c>
      <c r="V159" s="4">
        <f t="shared" si="174"/>
        <v>0.0253182169403162</v>
      </c>
      <c r="W159" t="str">
        <f t="shared" si="162"/>
        <v>1-0,0132835995556022i</v>
      </c>
      <c r="X159" s="4">
        <f t="shared" si="175"/>
        <v>1.00008822311692</v>
      </c>
      <c r="Y159" s="4">
        <f t="shared" si="176"/>
        <v>-0.0132828183234768</v>
      </c>
      <c r="Z159" t="str">
        <f t="shared" si="163"/>
        <v>0,99999946065841+0,0041684184251523i</v>
      </c>
      <c r="AA159" s="4">
        <f t="shared" si="177"/>
        <v>1.00000814848144</v>
      </c>
      <c r="AB159" s="4">
        <f t="shared" si="178"/>
        <v>0.00416839653048799</v>
      </c>
      <c r="AC159" s="67" t="str">
        <f t="shared" si="179"/>
        <v>9,62313435428716-24,794398205541i</v>
      </c>
      <c r="AD159" s="68">
        <f t="shared" si="180"/>
        <v>28.4964473216751</v>
      </c>
      <c r="AE159" s="31">
        <f t="shared" si="181"/>
        <v>-68.7879067661639</v>
      </c>
      <c r="AF159" s="32" t="str">
        <f t="shared" si="182"/>
        <v>249,914648392112</v>
      </c>
      <c r="AG159" s="32" t="str">
        <f t="shared" si="164"/>
        <v>1+1,69577866667262i</v>
      </c>
      <c r="AH159" s="32">
        <f t="shared" si="183"/>
        <v>1.96867094415039</v>
      </c>
      <c r="AI159" s="32">
        <f t="shared" si="184"/>
        <v>1.03798507867131</v>
      </c>
      <c r="AJ159" s="32" t="str">
        <f t="shared" si="165"/>
        <v>1+0,0253236280889778i</v>
      </c>
      <c r="AK159" s="32">
        <f t="shared" si="185"/>
        <v>1.00032059168028</v>
      </c>
      <c r="AL159" s="32">
        <f t="shared" si="186"/>
        <v>0.0253182169403162</v>
      </c>
      <c r="AM159" s="32" t="str">
        <f t="shared" si="166"/>
        <v>1-0,00256268608756231i</v>
      </c>
      <c r="AN159" s="32">
        <f t="shared" si="187"/>
        <v>1.0000032836746</v>
      </c>
      <c r="AO159" s="32">
        <f t="shared" si="188"/>
        <v>-0.00256268047755706</v>
      </c>
      <c r="AP159" s="30" t="str">
        <f t="shared" si="189"/>
        <v>66,9761017559129-107,888351717215i</v>
      </c>
      <c r="AQ159" s="32">
        <f t="shared" si="190"/>
        <v>42.0751843170937</v>
      </c>
      <c r="AR159" s="31">
        <f t="shared" si="191"/>
        <v>-58.1683680055484</v>
      </c>
      <c r="AS159" t="str">
        <f t="shared" si="167"/>
        <v>-0,000100699300699301</v>
      </c>
      <c r="AT159" t="str">
        <f t="shared" si="168"/>
        <v>0,000362896634667941i</v>
      </c>
      <c r="AU159">
        <f t="shared" si="192"/>
        <v>0.000362896634667941</v>
      </c>
      <c r="AV159">
        <f t="shared" si="193"/>
        <v>1.5707963267949</v>
      </c>
      <c r="AW159" t="str">
        <f t="shared" si="169"/>
        <v>1+0,0185796420766258i</v>
      </c>
      <c r="AX159">
        <f t="shared" si="194"/>
        <v>1.00017258665677</v>
      </c>
      <c r="AY159">
        <f t="shared" si="195"/>
        <v>0.0185775046026472</v>
      </c>
      <c r="AZ159" t="str">
        <f t="shared" si="170"/>
        <v>1+0,888265015876132i</v>
      </c>
      <c r="BA159">
        <f t="shared" si="196"/>
        <v>1.33754055580735</v>
      </c>
      <c r="BB159">
        <f t="shared" si="197"/>
        <v>0.726293724327006</v>
      </c>
      <c r="BC159" s="30" t="str">
        <f t="shared" si="198"/>
        <v>-0,241243591942435+0,281969776872015i</v>
      </c>
      <c r="BD159" s="32">
        <f t="shared" si="199"/>
        <v>-8.61048947797264</v>
      </c>
      <c r="BE159" s="31">
        <f t="shared" si="200"/>
        <v>130.549152483159</v>
      </c>
      <c r="BF159" s="30" t="str">
        <f t="shared" si="201"/>
        <v>4,66975143231941+8,69492272984355i</v>
      </c>
      <c r="BG159" s="68">
        <f t="shared" si="202"/>
        <v>19.8859578437025</v>
      </c>
      <c r="BH159" s="31">
        <f t="shared" si="203"/>
        <v>61.7612457169951</v>
      </c>
      <c r="BI159" s="30" t="str">
        <f t="shared" si="156"/>
        <v>14,2636990988941+44,9126099648819i</v>
      </c>
      <c r="BJ159" s="68">
        <f t="shared" si="204"/>
        <v>33.464694839121</v>
      </c>
      <c r="BK159" s="31">
        <f t="shared" si="157"/>
        <v>72.3807844776106</v>
      </c>
      <c r="BL159" s="32">
        <f t="shared" si="205"/>
        <v>19.8859578437025</v>
      </c>
      <c r="BM159" s="31">
        <f t="shared" si="206"/>
        <v>61.7612457169951</v>
      </c>
      <c r="BO159">
        <f t="shared" si="207"/>
        <v>0</v>
      </c>
      <c r="BP159">
        <f t="shared" si="208"/>
        <v>0</v>
      </c>
    </row>
    <row r="160" spans="14:68">
      <c r="N160" s="7">
        <v>42</v>
      </c>
      <c r="O160" s="18">
        <f t="shared" si="158"/>
        <v>263.026799189538</v>
      </c>
      <c r="P160" s="86" t="str">
        <f t="shared" si="159"/>
        <v>75</v>
      </c>
      <c r="Q160" s="4" t="str">
        <f t="shared" si="160"/>
        <v>1+2,69932199610156i</v>
      </c>
      <c r="R160" s="4">
        <f t="shared" si="171"/>
        <v>2.87860022209367</v>
      </c>
      <c r="S160" s="4">
        <f t="shared" si="172"/>
        <v>1.21600887096636</v>
      </c>
      <c r="T160" s="4" t="str">
        <f t="shared" si="161"/>
        <v>1+0,025913491162575i</v>
      </c>
      <c r="U160" s="4">
        <f t="shared" si="173"/>
        <v>1.00033569816549</v>
      </c>
      <c r="V160" s="4">
        <f t="shared" si="174"/>
        <v>0.0259076931174046</v>
      </c>
      <c r="W160" t="str">
        <f t="shared" si="162"/>
        <v>1-0,0135930143375114i</v>
      </c>
      <c r="X160" s="4">
        <f t="shared" si="175"/>
        <v>1.00009238075229</v>
      </c>
      <c r="Y160" s="4">
        <f t="shared" si="176"/>
        <v>-0.0135921772363834</v>
      </c>
      <c r="Z160" t="str">
        <f t="shared" si="163"/>
        <v>0,999999435240024+0,00426551336335232i</v>
      </c>
      <c r="AA160" s="4">
        <f t="shared" si="177"/>
        <v>1.00000853250591</v>
      </c>
      <c r="AB160" s="4">
        <f t="shared" si="178"/>
        <v>0.00426548990280763</v>
      </c>
      <c r="AC160" s="67" t="str">
        <f t="shared" si="179"/>
        <v>9,25130166750868-24,368243340315i</v>
      </c>
      <c r="AD160" s="68">
        <f t="shared" si="180"/>
        <v>28.3212417843301</v>
      </c>
      <c r="AE160" s="31">
        <f t="shared" si="181"/>
        <v>-69.2109436433186</v>
      </c>
      <c r="AF160" s="32" t="str">
        <f t="shared" si="182"/>
        <v>249,914648392112</v>
      </c>
      <c r="AG160" s="32" t="str">
        <f t="shared" si="164"/>
        <v>1+1,73527842606529i</v>
      </c>
      <c r="AH160" s="32">
        <f t="shared" si="183"/>
        <v>2.00279584979788</v>
      </c>
      <c r="AI160" s="32">
        <f t="shared" si="184"/>
        <v>1.04800332949048</v>
      </c>
      <c r="AJ160" s="32" t="str">
        <f t="shared" si="165"/>
        <v>1+0,025913491162575i</v>
      </c>
      <c r="AK160" s="32">
        <f t="shared" si="185"/>
        <v>1.00033569816549</v>
      </c>
      <c r="AL160" s="32">
        <f t="shared" si="186"/>
        <v>0.0259076931174046</v>
      </c>
      <c r="AM160" s="32" t="str">
        <f t="shared" si="166"/>
        <v>1-0,0026223787148179i</v>
      </c>
      <c r="AN160" s="32">
        <f t="shared" si="187"/>
        <v>1.00000343842915</v>
      </c>
      <c r="AO160" s="32">
        <f t="shared" si="188"/>
        <v>-0.00262237270359009</v>
      </c>
      <c r="AP160" s="30" t="str">
        <f t="shared" si="189"/>
        <v>64,8267083160827-106,671598195683i</v>
      </c>
      <c r="AQ160" s="32">
        <f t="shared" si="190"/>
        <v>41.9260458065851</v>
      </c>
      <c r="AR160" s="31">
        <f t="shared" si="191"/>
        <v>-58.7120171111412</v>
      </c>
      <c r="AS160" t="str">
        <f t="shared" si="167"/>
        <v>-0,000100699300699301</v>
      </c>
      <c r="AT160" t="str">
        <f t="shared" si="168"/>
        <v>0,000371349583177972i</v>
      </c>
      <c r="AU160">
        <f t="shared" si="192"/>
        <v>0.000371349583177972</v>
      </c>
      <c r="AV160">
        <f t="shared" si="193"/>
        <v>1.5707963267949</v>
      </c>
      <c r="AW160" t="str">
        <f t="shared" si="169"/>
        <v>1+0,0190124175360958i</v>
      </c>
      <c r="AX160">
        <f t="shared" si="194"/>
        <v>1.00018071968048</v>
      </c>
      <c r="AY160">
        <f t="shared" si="195"/>
        <v>0.0190101272138135</v>
      </c>
      <c r="AZ160" t="str">
        <f t="shared" si="170"/>
        <v>1+0,908955366034198i</v>
      </c>
      <c r="BA160">
        <f t="shared" si="196"/>
        <v>1.35136962280583</v>
      </c>
      <c r="BB160">
        <f t="shared" si="197"/>
        <v>0.737740843756762</v>
      </c>
      <c r="BC160" s="30" t="str">
        <f t="shared" si="198"/>
        <v>-0,241239668587711+0,275757718632018i</v>
      </c>
      <c r="BD160" s="32">
        <f t="shared" si="199"/>
        <v>-8.72121624689343</v>
      </c>
      <c r="BE160" s="31">
        <f t="shared" si="200"/>
        <v>131.180236664324</v>
      </c>
      <c r="BF160" s="30" t="str">
        <f t="shared" si="201"/>
        <v>4,4879502423204+8,42970478969106i</v>
      </c>
      <c r="BG160" s="68">
        <f t="shared" si="202"/>
        <v>19.6000255374366</v>
      </c>
      <c r="BH160" s="31">
        <f t="shared" si="203"/>
        <v>61.9692930210059</v>
      </c>
      <c r="BI160" s="30" t="str">
        <f t="shared" si="156"/>
        <v>13,7767429314688+43,6098861881143i</v>
      </c>
      <c r="BJ160" s="68">
        <f t="shared" si="204"/>
        <v>33.2048295596917</v>
      </c>
      <c r="BK160" s="31">
        <f t="shared" si="157"/>
        <v>72.4682195531834</v>
      </c>
      <c r="BL160" s="32">
        <f t="shared" si="205"/>
        <v>19.6000255374366</v>
      </c>
      <c r="BM160" s="31">
        <f t="shared" si="206"/>
        <v>61.9692930210059</v>
      </c>
      <c r="BO160">
        <f t="shared" si="207"/>
        <v>0</v>
      </c>
      <c r="BP160">
        <f t="shared" si="208"/>
        <v>0</v>
      </c>
    </row>
    <row r="161" spans="14:68">
      <c r="N161" s="7">
        <v>43</v>
      </c>
      <c r="O161" s="18">
        <f t="shared" si="158"/>
        <v>269.153480392692</v>
      </c>
      <c r="P161" s="86" t="str">
        <f t="shared" si="159"/>
        <v>75</v>
      </c>
      <c r="Q161" s="4" t="str">
        <f t="shared" si="160"/>
        <v>1+2,76219728252003i</v>
      </c>
      <c r="R161" s="4">
        <f t="shared" si="171"/>
        <v>2.93764086088838</v>
      </c>
      <c r="S161" s="4">
        <f t="shared" si="172"/>
        <v>1.22344426388001</v>
      </c>
      <c r="T161" s="4" t="str">
        <f t="shared" si="161"/>
        <v>1+0,0265170939121923i</v>
      </c>
      <c r="U161" s="4">
        <f t="shared" si="173"/>
        <v>1.0003515163529</v>
      </c>
      <c r="V161" s="4">
        <f t="shared" si="174"/>
        <v>0.0265108813127605</v>
      </c>
      <c r="W161" t="str">
        <f t="shared" si="162"/>
        <v>1-0,0139096363155473i</v>
      </c>
      <c r="X161" s="4">
        <f t="shared" si="175"/>
        <v>1.00009673431245</v>
      </c>
      <c r="Y161" s="4">
        <f t="shared" si="176"/>
        <v>-0.0139087393502139</v>
      </c>
      <c r="Z161" t="str">
        <f t="shared" si="163"/>
        <v>0,999999408623706+0,00436486993319835i</v>
      </c>
      <c r="AA161" s="4">
        <f t="shared" si="177"/>
        <v>1.00000893462873</v>
      </c>
      <c r="AB161" s="4">
        <f t="shared" si="178"/>
        <v>0.00436484479478392</v>
      </c>
      <c r="AC161" s="67" t="str">
        <f t="shared" si="179"/>
        <v>8,89223414246841-23,9440432590568i</v>
      </c>
      <c r="AD161" s="68">
        <f t="shared" si="180"/>
        <v>28.1450665346761</v>
      </c>
      <c r="AE161" s="31">
        <f t="shared" si="181"/>
        <v>-69.6262304275063</v>
      </c>
      <c r="AF161" s="32" t="str">
        <f t="shared" si="182"/>
        <v>249,914648392112</v>
      </c>
      <c r="AG161" s="32" t="str">
        <f t="shared" si="164"/>
        <v>1+1,77569825304859i</v>
      </c>
      <c r="AH161" s="32">
        <f t="shared" si="183"/>
        <v>2.0379166533202</v>
      </c>
      <c r="AI161" s="32">
        <f t="shared" si="184"/>
        <v>1.05790659557639</v>
      </c>
      <c r="AJ161" s="32" t="str">
        <f t="shared" si="165"/>
        <v>1+0,0265170939121923i</v>
      </c>
      <c r="AK161" s="32">
        <f t="shared" si="185"/>
        <v>1.0003515163529</v>
      </c>
      <c r="AL161" s="32">
        <f t="shared" si="186"/>
        <v>0.0265108813127605</v>
      </c>
      <c r="AM161" s="32" t="str">
        <f t="shared" si="166"/>
        <v>1-0,00268346176197937i</v>
      </c>
      <c r="AN161" s="32">
        <f t="shared" si="187"/>
        <v>1.00000360047703</v>
      </c>
      <c r="AO161" s="32">
        <f t="shared" si="188"/>
        <v>-0.00268345532083398</v>
      </c>
      <c r="AP161" s="30" t="str">
        <f t="shared" si="189"/>
        <v>62,7263695629307-105,426731054249i</v>
      </c>
      <c r="AQ161" s="32">
        <f t="shared" si="190"/>
        <v>41.7751898522561</v>
      </c>
      <c r="AR161" s="31">
        <f t="shared" si="191"/>
        <v>-59.248372099583</v>
      </c>
      <c r="AS161" t="str">
        <f t="shared" si="167"/>
        <v>-0,000100699300699301</v>
      </c>
      <c r="AT161" t="str">
        <f t="shared" si="168"/>
        <v>0,000379999426152399i</v>
      </c>
      <c r="AU161">
        <f t="shared" si="192"/>
        <v>0.000379999426152399</v>
      </c>
      <c r="AV161">
        <f t="shared" si="193"/>
        <v>1.5707963267949</v>
      </c>
      <c r="AW161" t="str">
        <f t="shared" si="169"/>
        <v>1+0,0194552736310026i</v>
      </c>
      <c r="AX161">
        <f t="shared" si="194"/>
        <v>1.00018923593091</v>
      </c>
      <c r="AY161">
        <f t="shared" si="195"/>
        <v>0.0194528195315387</v>
      </c>
      <c r="AZ161" t="str">
        <f t="shared" si="170"/>
        <v>1+0,930127656358785i</v>
      </c>
      <c r="BA161">
        <f t="shared" si="196"/>
        <v>1.36570035407606</v>
      </c>
      <c r="BB161">
        <f t="shared" si="197"/>
        <v>0.749213072368599</v>
      </c>
      <c r="BC161" s="30" t="str">
        <f t="shared" si="198"/>
        <v>-0,241235560467746+0,269691863754451i</v>
      </c>
      <c r="BD161" s="32">
        <f t="shared" si="199"/>
        <v>-8.82966480974157</v>
      </c>
      <c r="BE161" s="31">
        <f t="shared" si="200"/>
        <v>131.812182543964</v>
      </c>
      <c r="BF161" s="30" t="str">
        <f t="shared" si="201"/>
        <v>4,31239056518343+8,17431789428579i</v>
      </c>
      <c r="BG161" s="68">
        <f t="shared" si="202"/>
        <v>19.3154017249345</v>
      </c>
      <c r="BH161" s="31">
        <f t="shared" si="203"/>
        <v>62.1859521164572</v>
      </c>
      <c r="BI161" s="30" t="str">
        <f t="shared" si="156"/>
        <v>13,3009006699391+42,3494680681313i</v>
      </c>
      <c r="BJ161" s="68">
        <f t="shared" si="204"/>
        <v>32.9455250425146</v>
      </c>
      <c r="BK161" s="31">
        <f t="shared" si="157"/>
        <v>72.5638104443805</v>
      </c>
      <c r="BL161" s="32">
        <f t="shared" si="205"/>
        <v>19.3154017249345</v>
      </c>
      <c r="BM161" s="31">
        <f t="shared" si="206"/>
        <v>62.1859521164572</v>
      </c>
      <c r="BO161">
        <f t="shared" si="207"/>
        <v>0</v>
      </c>
      <c r="BP161">
        <f t="shared" si="208"/>
        <v>0</v>
      </c>
    </row>
    <row r="162" spans="14:68">
      <c r="N162" s="7">
        <v>44</v>
      </c>
      <c r="O162" s="18">
        <f t="shared" si="158"/>
        <v>275.422870333817</v>
      </c>
      <c r="P162" s="86" t="str">
        <f t="shared" si="159"/>
        <v>75</v>
      </c>
      <c r="Q162" s="4" t="str">
        <f t="shared" si="160"/>
        <v>1+2,82653712249969i</v>
      </c>
      <c r="R162" s="4">
        <f t="shared" si="171"/>
        <v>2.99821815498286</v>
      </c>
      <c r="S162" s="4">
        <f t="shared" si="172"/>
        <v>1.23074929228619</v>
      </c>
      <c r="T162" s="4" t="str">
        <f t="shared" si="161"/>
        <v>1+0,0271347563759971i</v>
      </c>
      <c r="U162" s="4">
        <f t="shared" si="173"/>
        <v>1.00036807976044</v>
      </c>
      <c r="V162" s="4">
        <f t="shared" si="174"/>
        <v>0.0271280995880512</v>
      </c>
      <c r="W162" t="str">
        <f t="shared" si="162"/>
        <v>1-0,0142336333668735i</v>
      </c>
      <c r="X162" s="4">
        <f t="shared" si="175"/>
        <v>1.00010129302927</v>
      </c>
      <c r="Y162" s="4">
        <f t="shared" si="176"/>
        <v>-0.0142326722564601</v>
      </c>
      <c r="Z162" t="str">
        <f t="shared" si="163"/>
        <v>0,999999380753+0,00446654081485885i</v>
      </c>
      <c r="AA162" s="4">
        <f t="shared" si="177"/>
        <v>1.00000935570285</v>
      </c>
      <c r="AB162" s="4">
        <f t="shared" si="178"/>
        <v>0.00446651387857608</v>
      </c>
      <c r="AC162" s="67" t="str">
        <f t="shared" si="179"/>
        <v>8,5456468784183-23,5221362884679i</v>
      </c>
      <c r="AD162" s="68">
        <f t="shared" si="180"/>
        <v>27.9679557010739</v>
      </c>
      <c r="AE162" s="31">
        <f t="shared" si="181"/>
        <v>-70.033798919973</v>
      </c>
      <c r="AF162" s="32" t="str">
        <f t="shared" si="182"/>
        <v>249,914648392112</v>
      </c>
      <c r="AG162" s="32" t="str">
        <f t="shared" si="164"/>
        <v>1+1,8170595787498i</v>
      </c>
      <c r="AH162" s="32">
        <f t="shared" si="183"/>
        <v>2.07405533019888</v>
      </c>
      <c r="AI162" s="32">
        <f t="shared" si="184"/>
        <v>1.06769235704239</v>
      </c>
      <c r="AJ162" s="32" t="str">
        <f t="shared" si="165"/>
        <v>1+0,0271347563759971i</v>
      </c>
      <c r="AK162" s="32">
        <f t="shared" si="185"/>
        <v>1.00036807976044</v>
      </c>
      <c r="AL162" s="32">
        <f t="shared" si="186"/>
        <v>0.0271280995880512</v>
      </c>
      <c r="AM162" s="32" t="str">
        <f t="shared" si="166"/>
        <v>1-0,00274596761608686i</v>
      </c>
      <c r="AN162" s="32">
        <f t="shared" si="187"/>
        <v>1.00000377016197</v>
      </c>
      <c r="AO162" s="32">
        <f t="shared" si="188"/>
        <v>-0.00274596071427663</v>
      </c>
      <c r="AP162" s="30" t="str">
        <f t="shared" si="189"/>
        <v>60,6755755773202-104,156020231285i</v>
      </c>
      <c r="AQ162" s="32">
        <f t="shared" si="190"/>
        <v>41.6226567473635</v>
      </c>
      <c r="AR162" s="31">
        <f t="shared" si="191"/>
        <v>-59.7772722239349</v>
      </c>
      <c r="AS162" t="str">
        <f t="shared" si="167"/>
        <v>-0,000100699300699301</v>
      </c>
      <c r="AT162" t="str">
        <f t="shared" si="168"/>
        <v>0,000388850749852457i</v>
      </c>
      <c r="AU162">
        <f t="shared" si="192"/>
        <v>0.000388850749852457</v>
      </c>
      <c r="AV162">
        <f t="shared" si="193"/>
        <v>1.5707963267949</v>
      </c>
      <c r="AW162" t="str">
        <f t="shared" si="169"/>
        <v>1+0,0199084451695096i</v>
      </c>
      <c r="AX162">
        <f t="shared" si="194"/>
        <v>1.00019815346214</v>
      </c>
      <c r="AY162">
        <f t="shared" si="195"/>
        <v>0.0199058155826929</v>
      </c>
      <c r="AZ162" t="str">
        <f t="shared" si="170"/>
        <v>1+0,951793112678467i</v>
      </c>
      <c r="BA162">
        <f t="shared" si="196"/>
        <v>1.38054703988751</v>
      </c>
      <c r="BB162">
        <f t="shared" si="197"/>
        <v>0.76070441483434</v>
      </c>
      <c r="BC162" s="30" t="str">
        <f t="shared" si="198"/>
        <v>-0,241231258888013+0,263768995540371i</v>
      </c>
      <c r="BD162" s="32">
        <f t="shared" si="199"/>
        <v>-8.93582650947924</v>
      </c>
      <c r="BE162" s="31">
        <f t="shared" si="200"/>
        <v>132.444633206323</v>
      </c>
      <c r="BF162" s="30" t="str">
        <f t="shared" si="201"/>
        <v>4,14293310727962+7,92835124196563i</v>
      </c>
      <c r="BG162" s="68">
        <f t="shared" si="202"/>
        <v>19.0321291915946</v>
      </c>
      <c r="BH162" s="31">
        <f t="shared" si="203"/>
        <v>62.4108342863498</v>
      </c>
      <c r="BI162" s="30" t="str">
        <f t="shared" si="156"/>
        <v>12,8362833556169+41,1300235050218i</v>
      </c>
      <c r="BJ162" s="68">
        <f t="shared" si="204"/>
        <v>32.6868302378843</v>
      </c>
      <c r="BK162" s="31">
        <f t="shared" si="157"/>
        <v>72.6673609823877</v>
      </c>
      <c r="BL162" s="32">
        <f t="shared" si="205"/>
        <v>19.0321291915946</v>
      </c>
      <c r="BM162" s="31">
        <f t="shared" si="206"/>
        <v>62.4108342863498</v>
      </c>
      <c r="BO162">
        <f t="shared" si="207"/>
        <v>0</v>
      </c>
      <c r="BP162">
        <f t="shared" si="208"/>
        <v>0</v>
      </c>
    </row>
    <row r="163" spans="14:68">
      <c r="N163" s="7">
        <v>45</v>
      </c>
      <c r="O163" s="18">
        <f t="shared" si="158"/>
        <v>281.838293126446</v>
      </c>
      <c r="P163" s="86" t="str">
        <f t="shared" si="159"/>
        <v>75</v>
      </c>
      <c r="Q163" s="4" t="str">
        <f t="shared" si="160"/>
        <v>1+2,89237562987534i</v>
      </c>
      <c r="R163" s="4">
        <f t="shared" si="171"/>
        <v>3.0603654658058</v>
      </c>
      <c r="S163" s="4">
        <f t="shared" si="172"/>
        <v>1.2379247098771</v>
      </c>
      <c r="T163" s="4" t="str">
        <f t="shared" si="161"/>
        <v>1+0,0277668060468033i</v>
      </c>
      <c r="U163" s="4">
        <f t="shared" si="173"/>
        <v>1.00038542348339</v>
      </c>
      <c r="V163" s="4">
        <f t="shared" si="174"/>
        <v>0.0277596733184228</v>
      </c>
      <c r="W163" t="str">
        <f t="shared" si="162"/>
        <v>1-0,0145651772790151i</v>
      </c>
      <c r="X163" s="4">
        <f t="shared" si="175"/>
        <v>1.00010606656953</v>
      </c>
      <c r="Y163" s="4">
        <f t="shared" si="176"/>
        <v>-0.0145641474365514</v>
      </c>
      <c r="Z163" t="str">
        <f t="shared" si="163"/>
        <v>0,999999351568788+0,00457057991558103i</v>
      </c>
      <c r="AA163" s="4">
        <f t="shared" si="177"/>
        <v>1.00000979662139</v>
      </c>
      <c r="AB163" s="4">
        <f t="shared" si="178"/>
        <v>0.00457055105284928</v>
      </c>
      <c r="AC163" s="67" t="str">
        <f t="shared" si="179"/>
        <v>8,21124888943494-23,1028394725478i</v>
      </c>
      <c r="AD163" s="68">
        <f t="shared" si="180"/>
        <v>27.7899426585083</v>
      </c>
      <c r="AE163" s="31">
        <f t="shared" si="181"/>
        <v>-70.4336865748053</v>
      </c>
      <c r="AF163" s="32" t="str">
        <f t="shared" si="182"/>
        <v>249,914648392112</v>
      </c>
      <c r="AG163" s="32" t="str">
        <f t="shared" si="164"/>
        <v>1+1,85938433349129i</v>
      </c>
      <c r="AH163" s="32">
        <f t="shared" si="183"/>
        <v>2.11123425977148</v>
      </c>
      <c r="AI163" s="32">
        <f t="shared" si="184"/>
        <v>1.07735830494828</v>
      </c>
      <c r="AJ163" s="32" t="str">
        <f t="shared" si="165"/>
        <v>1+0,0277668060468033i</v>
      </c>
      <c r="AK163" s="32">
        <f t="shared" si="185"/>
        <v>1.00038542348339</v>
      </c>
      <c r="AL163" s="32">
        <f t="shared" si="186"/>
        <v>0.0277596733184228</v>
      </c>
      <c r="AM163" s="32" t="str">
        <f t="shared" si="166"/>
        <v>1-0,00280992941857157i</v>
      </c>
      <c r="AN163" s="32">
        <f t="shared" si="187"/>
        <v>1.00000394784388</v>
      </c>
      <c r="AO163" s="32">
        <f t="shared" si="188"/>
        <v>-0.00280992202315024</v>
      </c>
      <c r="AP163" s="30" t="str">
        <f t="shared" si="189"/>
        <v>58,6746910669528-102,861712294823i</v>
      </c>
      <c r="AQ163" s="32">
        <f t="shared" si="190"/>
        <v>41.4684871453623</v>
      </c>
      <c r="AR163" s="31">
        <f t="shared" si="191"/>
        <v>-60.2985684477846</v>
      </c>
      <c r="AS163" t="str">
        <f t="shared" si="167"/>
        <v>-0,000100699300699301</v>
      </c>
      <c r="AT163" t="str">
        <f t="shared" si="168"/>
        <v>0,000397908247367136i</v>
      </c>
      <c r="AU163">
        <f t="shared" si="192"/>
        <v>0.000397908247367136</v>
      </c>
      <c r="AV163">
        <f t="shared" si="193"/>
        <v>1.5707963267949</v>
      </c>
      <c r="AW163" t="str">
        <f t="shared" si="169"/>
        <v>1+0,0203721724291648i</v>
      </c>
      <c r="AX163">
        <f t="shared" si="194"/>
        <v>1.00020749117845</v>
      </c>
      <c r="AY163">
        <f t="shared" si="195"/>
        <v>0.0203693548076941</v>
      </c>
      <c r="AZ163" t="str">
        <f t="shared" si="170"/>
        <v>1+0,973963222304962i</v>
      </c>
      <c r="BA163">
        <f t="shared" si="196"/>
        <v>1.39592419507746</v>
      </c>
      <c r="BB163">
        <f t="shared" si="197"/>
        <v>0.772208825516555</v>
      </c>
      <c r="BC163" s="30" t="str">
        <f t="shared" si="198"/>
        <v>-0,24122675474549+0,257985973068363i</v>
      </c>
      <c r="BD163" s="32">
        <f t="shared" si="199"/>
        <v>-9.03969508554601</v>
      </c>
      <c r="BE163" s="31">
        <f t="shared" si="200"/>
        <v>133.077228542967</v>
      </c>
      <c r="BF163" s="30" t="str">
        <f t="shared" si="201"/>
        <v>3,97943559996153+7,6914100262161i</v>
      </c>
      <c r="BG163" s="68">
        <f t="shared" si="202"/>
        <v>18.7502475729623</v>
      </c>
      <c r="BH163" s="31">
        <f t="shared" si="203"/>
        <v>62.6435419681621</v>
      </c>
      <c r="BI163" s="30" t="str">
        <f t="shared" si="156"/>
        <v>12,3829736260827+39,9502443138378i</v>
      </c>
      <c r="BJ163" s="68">
        <f t="shared" si="204"/>
        <v>32.4287920598162</v>
      </c>
      <c r="BK163" s="31">
        <f t="shared" si="157"/>
        <v>72.7786600951828</v>
      </c>
      <c r="BL163" s="32">
        <f t="shared" si="205"/>
        <v>18.7502475729623</v>
      </c>
      <c r="BM163" s="31">
        <f t="shared" si="206"/>
        <v>62.6435419681621</v>
      </c>
      <c r="BO163">
        <f t="shared" si="207"/>
        <v>0</v>
      </c>
      <c r="BP163">
        <f t="shared" si="208"/>
        <v>0</v>
      </c>
    </row>
    <row r="164" spans="14:68">
      <c r="N164" s="7">
        <v>46</v>
      </c>
      <c r="O164" s="18">
        <f t="shared" si="158"/>
        <v>288.403150312661</v>
      </c>
      <c r="P164" s="86" t="str">
        <f t="shared" si="159"/>
        <v>75</v>
      </c>
      <c r="Q164" s="4" t="str">
        <f t="shared" si="160"/>
        <v>1+2,95974771309507i</v>
      </c>
      <c r="R164" s="4">
        <f t="shared" si="171"/>
        <v>3.12411691925438</v>
      </c>
      <c r="S164" s="4">
        <f t="shared" si="172"/>
        <v>1.24497136471366</v>
      </c>
      <c r="T164" s="4" t="str">
        <f t="shared" si="161"/>
        <v>1+0,0284135780457127i</v>
      </c>
      <c r="U164" s="4">
        <f t="shared" si="173"/>
        <v>1.00040358426855</v>
      </c>
      <c r="V164" s="4">
        <f t="shared" si="174"/>
        <v>0.0284059353560694</v>
      </c>
      <c r="W164" t="str">
        <f t="shared" si="162"/>
        <v>1-0,014904443840943i</v>
      </c>
      <c r="X164" s="4">
        <f t="shared" si="175"/>
        <v>1.00011106505538</v>
      </c>
      <c r="Y164" s="4">
        <f t="shared" si="176"/>
        <v>-0.0149033403514803</v>
      </c>
      <c r="Z164" t="str">
        <f t="shared" si="163"/>
        <v>0,999999321009166+0,00467704239827322i</v>
      </c>
      <c r="AA164" s="4">
        <f t="shared" si="177"/>
        <v>1.00001025831958</v>
      </c>
      <c r="AB164" s="4">
        <f t="shared" si="178"/>
        <v>0.00467701147131607</v>
      </c>
      <c r="AC164" s="67" t="str">
        <f t="shared" si="179"/>
        <v>7,88874435726298-22,6864490107016i</v>
      </c>
      <c r="AD164" s="68">
        <f t="shared" si="180"/>
        <v>27.6110600148069</v>
      </c>
      <c r="AE164" s="31">
        <f t="shared" si="181"/>
        <v>-70.8259361245385</v>
      </c>
      <c r="AF164" s="32" t="str">
        <f t="shared" si="182"/>
        <v>249,914648392112</v>
      </c>
      <c r="AG164" s="32" t="str">
        <f t="shared" si="164"/>
        <v>1+1,90269495841826i</v>
      </c>
      <c r="AH164" s="32">
        <f t="shared" si="183"/>
        <v>2.14947623964311</v>
      </c>
      <c r="AI164" s="32">
        <f t="shared" si="184"/>
        <v>1.08690233877482</v>
      </c>
      <c r="AJ164" s="32" t="str">
        <f t="shared" si="165"/>
        <v>1+0,0284135780457127i</v>
      </c>
      <c r="AK164" s="32">
        <f t="shared" si="185"/>
        <v>1.00040358426855</v>
      </c>
      <c r="AL164" s="32">
        <f t="shared" si="186"/>
        <v>0.0284059353560694</v>
      </c>
      <c r="AM164" s="32" t="str">
        <f t="shared" si="166"/>
        <v>1-0,00287538108282782i</v>
      </c>
      <c r="AN164" s="32">
        <f t="shared" si="187"/>
        <v>1.00000413389964</v>
      </c>
      <c r="AO164" s="32">
        <f t="shared" si="188"/>
        <v>-0.00287537315849287</v>
      </c>
      <c r="AP164" s="30" t="str">
        <f t="shared" si="189"/>
        <v>56,7239599993491-101,546023197733i</v>
      </c>
      <c r="AQ164" s="32">
        <f t="shared" si="190"/>
        <v>41.3127219607022</v>
      </c>
      <c r="AR164" s="31">
        <f t="shared" si="191"/>
        <v>-60.812123292178</v>
      </c>
      <c r="AS164" t="str">
        <f t="shared" si="167"/>
        <v>-0,000100699300699301</v>
      </c>
      <c r="AT164" t="str">
        <f t="shared" si="168"/>
        <v>0,000407176721101507i</v>
      </c>
      <c r="AU164">
        <f t="shared" si="192"/>
        <v>0.000407176721101507</v>
      </c>
      <c r="AV164">
        <f t="shared" si="193"/>
        <v>1.5707963267949</v>
      </c>
      <c r="AW164" t="str">
        <f t="shared" si="169"/>
        <v>1+0,0208467012842995i</v>
      </c>
      <c r="AX164">
        <f t="shared" si="194"/>
        <v>1.00021726887434</v>
      </c>
      <c r="AY164">
        <f t="shared" si="195"/>
        <v>0.0208436821839178</v>
      </c>
      <c r="AZ164" t="str">
        <f t="shared" si="170"/>
        <v>1+0,99664974012385i</v>
      </c>
      <c r="BA164">
        <f t="shared" si="196"/>
        <v>1.41184655840815</v>
      </c>
      <c r="BB164">
        <f t="shared" si="197"/>
        <v>0.783720224265397</v>
      </c>
      <c r="BC164" s="30" t="str">
        <f t="shared" si="198"/>
        <v>-0,241222038509542+0,252339729526637i</v>
      </c>
      <c r="BD164" s="32">
        <f t="shared" si="199"/>
        <v>-9.1412667012675</v>
      </c>
      <c r="BE164" s="31">
        <f t="shared" si="200"/>
        <v>133.709606150803</v>
      </c>
      <c r="BF164" s="30" t="str">
        <f t="shared" si="201"/>
        <v>3,82175341214066+7,46311509432075i</v>
      </c>
      <c r="BG164" s="68">
        <f t="shared" si="202"/>
        <v>18.4697933135394</v>
      </c>
      <c r="BH164" s="31">
        <f t="shared" si="203"/>
        <v>62.8836700262646</v>
      </c>
      <c r="BI164" s="30" t="str">
        <f t="shared" si="156"/>
        <v>11,9410267648448+38,8088474422099i</v>
      </c>
      <c r="BJ164" s="68">
        <f t="shared" si="204"/>
        <v>32.1714552594347</v>
      </c>
      <c r="BK164" s="31">
        <f t="shared" si="157"/>
        <v>72.8974828586251</v>
      </c>
      <c r="BL164" s="32">
        <f t="shared" si="205"/>
        <v>18.4697933135394</v>
      </c>
      <c r="BM164" s="31">
        <f t="shared" si="206"/>
        <v>62.8836700262646</v>
      </c>
      <c r="BO164">
        <f t="shared" si="207"/>
        <v>0</v>
      </c>
      <c r="BP164">
        <f t="shared" si="208"/>
        <v>0</v>
      </c>
    </row>
    <row r="165" spans="14:68">
      <c r="N165" s="7">
        <v>47</v>
      </c>
      <c r="O165" s="18">
        <f t="shared" si="158"/>
        <v>295.120922666639</v>
      </c>
      <c r="P165" s="86" t="str">
        <f t="shared" si="159"/>
        <v>75</v>
      </c>
      <c r="Q165" s="4" t="str">
        <f t="shared" si="160"/>
        <v>1+3,02868909372917i</v>
      </c>
      <c r="R165" s="4">
        <f t="shared" si="171"/>
        <v>3.18950742693508</v>
      </c>
      <c r="S165" s="4">
        <f t="shared" si="172"/>
        <v>1.25189019288024</v>
      </c>
      <c r="T165" s="4" t="str">
        <f t="shared" si="161"/>
        <v>1+0,0290754152998001i</v>
      </c>
      <c r="U165" s="4">
        <f t="shared" si="173"/>
        <v>1.0004226005918</v>
      </c>
      <c r="V165" s="4">
        <f t="shared" si="174"/>
        <v>0.0290672261971267</v>
      </c>
      <c r="W165" t="str">
        <f t="shared" si="162"/>
        <v>1-0,0152516129362791i</v>
      </c>
      <c r="X165" s="4">
        <f t="shared" si="175"/>
        <v>1.00011629908584</v>
      </c>
      <c r="Y165" s="4">
        <f t="shared" si="176"/>
        <v>-0.0152504305334426</v>
      </c>
      <c r="Z165" t="str">
        <f t="shared" si="163"/>
        <v>0,999999289009314+0,00478598471075296i</v>
      </c>
      <c r="AA165" s="4">
        <f t="shared" si="177"/>
        <v>1.0000107417767</v>
      </c>
      <c r="AB165" s="4">
        <f t="shared" si="178"/>
        <v>0.00478595157194052</v>
      </c>
      <c r="AC165" s="67" t="str">
        <f t="shared" si="179"/>
        <v>7,57783380685448-22,2732407515472i</v>
      </c>
      <c r="AD165" s="68">
        <f t="shared" si="180"/>
        <v>27.4313396001427</v>
      </c>
      <c r="AE165" s="31">
        <f t="shared" si="181"/>
        <v>-71.2105952139585</v>
      </c>
      <c r="AF165" s="32" t="str">
        <f t="shared" si="182"/>
        <v>249,914648392112</v>
      </c>
      <c r="AG165" s="32" t="str">
        <f t="shared" si="164"/>
        <v>1+1,94701441739732i</v>
      </c>
      <c r="AH165" s="32">
        <f t="shared" si="183"/>
        <v>2.18880450053289</v>
      </c>
      <c r="AI165" s="32">
        <f t="shared" si="184"/>
        <v>1.09632256324829</v>
      </c>
      <c r="AJ165" s="32" t="str">
        <f t="shared" si="165"/>
        <v>1+0,0290754152998001i</v>
      </c>
      <c r="AK165" s="32">
        <f t="shared" si="185"/>
        <v>1.0004226005918</v>
      </c>
      <c r="AL165" s="32">
        <f t="shared" si="186"/>
        <v>0.0290672261971267</v>
      </c>
      <c r="AM165" s="32" t="str">
        <f t="shared" si="166"/>
        <v>1-0,00294235731219435i</v>
      </c>
      <c r="AN165" s="32">
        <f t="shared" si="187"/>
        <v>1.00000432872391</v>
      </c>
      <c r="AO165" s="32">
        <f t="shared" si="188"/>
        <v>-0.00294234882111845</v>
      </c>
      <c r="AP165" s="30" t="str">
        <f t="shared" si="189"/>
        <v>54,8235106291647-100,211131608936i</v>
      </c>
      <c r="AQ165" s="32">
        <f t="shared" si="190"/>
        <v>41.1554022735773</v>
      </c>
      <c r="AR165" s="31">
        <f t="shared" si="191"/>
        <v>-61.317810645149</v>
      </c>
      <c r="AS165" t="str">
        <f t="shared" si="167"/>
        <v>-0,000100699300699301</v>
      </c>
      <c r="AT165" t="str">
        <f t="shared" si="168"/>
        <v>0,000416661085323027i</v>
      </c>
      <c r="AU165">
        <f t="shared" si="192"/>
        <v>0.000416661085323027</v>
      </c>
      <c r="AV165">
        <f t="shared" si="193"/>
        <v>1.5707963267949</v>
      </c>
      <c r="AW165" t="str">
        <f t="shared" si="169"/>
        <v>1+0,0213322833363939i</v>
      </c>
      <c r="AX165">
        <f t="shared" si="194"/>
        <v>1.00022750727639</v>
      </c>
      <c r="AY165">
        <f t="shared" si="195"/>
        <v>0.0213290483517902</v>
      </c>
      <c r="AZ165" t="str">
        <f t="shared" si="170"/>
        <v>1+1,01986469482717i</v>
      </c>
      <c r="BA165">
        <f t="shared" si="196"/>
        <v>1.42832909224552</v>
      </c>
      <c r="BB165">
        <f t="shared" si="197"/>
        <v>0.795232512437309</v>
      </c>
      <c r="BC165" s="30" t="str">
        <f t="shared" si="198"/>
        <v>-0,241217100201894+0,246827270584211i</v>
      </c>
      <c r="BD165" s="32">
        <f t="shared" si="199"/>
        <v>-9.24053996116096</v>
      </c>
      <c r="BE165" s="31">
        <f t="shared" si="200"/>
        <v>134.341402242654</v>
      </c>
      <c r="BF165" s="30" t="str">
        <f t="shared" si="201"/>
        <v>3,6697401250681+7,24310258167352i</v>
      </c>
      <c r="BG165" s="68">
        <f t="shared" si="202"/>
        <v>18.1907996389817</v>
      </c>
      <c r="BH165" s="31">
        <f t="shared" si="203"/>
        <v>63.130807028696</v>
      </c>
      <c r="BI165" s="30" t="str">
        <f t="shared" si="156"/>
        <v>11,510471840334+37,7045760670991i</v>
      </c>
      <c r="BJ165" s="68">
        <f t="shared" si="204"/>
        <v>31.9148623124163</v>
      </c>
      <c r="BK165" s="31">
        <f t="shared" si="157"/>
        <v>73.0235915975055</v>
      </c>
      <c r="BL165" s="32">
        <f t="shared" si="205"/>
        <v>18.1907996389817</v>
      </c>
      <c r="BM165" s="31">
        <f t="shared" si="206"/>
        <v>63.130807028696</v>
      </c>
      <c r="BO165">
        <f t="shared" si="207"/>
        <v>0</v>
      </c>
      <c r="BP165">
        <f t="shared" si="208"/>
        <v>0</v>
      </c>
    </row>
    <row r="166" spans="14:68">
      <c r="N166" s="7">
        <v>48</v>
      </c>
      <c r="O166" s="18">
        <f t="shared" si="158"/>
        <v>301.995172040202</v>
      </c>
      <c r="P166" s="86" t="str">
        <f t="shared" si="159"/>
        <v>75</v>
      </c>
      <c r="Q166" s="4" t="str">
        <f t="shared" si="160"/>
        <v>1+3,09923632541021i</v>
      </c>
      <c r="R166" s="4">
        <f t="shared" si="171"/>
        <v>3.25657270773158</v>
      </c>
      <c r="S166" s="4">
        <f t="shared" si="172"/>
        <v>1.25868221229891</v>
      </c>
      <c r="T166" s="4" t="str">
        <f t="shared" si="161"/>
        <v>1+0,029752668723938i</v>
      </c>
      <c r="U166" s="4">
        <f t="shared" si="173"/>
        <v>1.00044251273934</v>
      </c>
      <c r="V166" s="4">
        <f t="shared" si="174"/>
        <v>0.0297438941519385</v>
      </c>
      <c r="W166" t="str">
        <f t="shared" si="162"/>
        <v>1-0,0156068686386728i</v>
      </c>
      <c r="X166" s="4">
        <f t="shared" si="175"/>
        <v>1.0001217797592</v>
      </c>
      <c r="Y166" s="4">
        <f t="shared" si="176"/>
        <v>-0.0156056016795389</v>
      </c>
      <c r="Z166" t="str">
        <f t="shared" si="163"/>
        <v>0,999999255501356+0,00489746461567633i</v>
      </c>
      <c r="AA166" s="4">
        <f t="shared" si="177"/>
        <v>1.00001124801821</v>
      </c>
      <c r="AB166" s="4">
        <f t="shared" si="178"/>
        <v>0.00489742910682059</v>
      </c>
      <c r="AC166" s="67" t="str">
        <f t="shared" si="179"/>
        <v>7,2782152046082-21,8634707344741i</v>
      </c>
      <c r="AD166" s="68">
        <f t="shared" si="180"/>
        <v>27.2508124596174</v>
      </c>
      <c r="AE166" s="31">
        <f t="shared" si="181"/>
        <v>-71.5877160430124</v>
      </c>
      <c r="AF166" s="32" t="str">
        <f t="shared" si="182"/>
        <v>249,914648392112</v>
      </c>
      <c r="AG166" s="32" t="str">
        <f t="shared" si="164"/>
        <v>1+1,99236620919228i</v>
      </c>
      <c r="AH166" s="32">
        <f t="shared" si="183"/>
        <v>2.22924272153824</v>
      </c>
      <c r="AI166" s="32">
        <f t="shared" si="184"/>
        <v>1.10561728456976</v>
      </c>
      <c r="AJ166" s="32" t="str">
        <f t="shared" si="165"/>
        <v>1+0,029752668723938i</v>
      </c>
      <c r="AK166" s="32">
        <f t="shared" si="185"/>
        <v>1.00044251273934</v>
      </c>
      <c r="AL166" s="32">
        <f t="shared" si="186"/>
        <v>0.0297438941519385</v>
      </c>
      <c r="AM166" s="32" t="str">
        <f t="shared" si="166"/>
        <v>1-0,00301089361835452i</v>
      </c>
      <c r="AN166" s="32">
        <f t="shared" si="187"/>
        <v>1.00000453272992</v>
      </c>
      <c r="AO166" s="32">
        <f t="shared" si="188"/>
        <v>-0.003010884520005</v>
      </c>
      <c r="AP166" s="30" t="str">
        <f t="shared" si="189"/>
        <v>52,9733608554302-98,8591728328154i</v>
      </c>
      <c r="AQ166" s="32">
        <f t="shared" si="190"/>
        <v>40.9965692389229</v>
      </c>
      <c r="AR166" s="31">
        <f t="shared" si="191"/>
        <v>-61.8155155369695</v>
      </c>
      <c r="AS166" t="str">
        <f t="shared" si="167"/>
        <v>-0,000100699300699301</v>
      </c>
      <c r="AT166" t="str">
        <f t="shared" si="168"/>
        <v>0,000426366368767147i</v>
      </c>
      <c r="AU166">
        <f t="shared" si="192"/>
        <v>0.000426366368767147</v>
      </c>
      <c r="AV166">
        <f t="shared" si="193"/>
        <v>1.5707963267949</v>
      </c>
      <c r="AW166" t="str">
        <f t="shared" si="169"/>
        <v>1+0,0218291760474794i</v>
      </c>
      <c r="AX166">
        <f t="shared" si="194"/>
        <v>1.00023822808715</v>
      </c>
      <c r="AY166">
        <f t="shared" si="195"/>
        <v>0.0218257097436118</v>
      </c>
      <c r="AZ166" t="str">
        <f t="shared" si="170"/>
        <v>1+1,04362039529119i</v>
      </c>
      <c r="BA166">
        <f t="shared" si="196"/>
        <v>1.44538698259938</v>
      </c>
      <c r="BB166">
        <f t="shared" si="197"/>
        <v>0.806739589032965</v>
      </c>
      <c r="BC166" s="30" t="str">
        <f t="shared" si="198"/>
        <v>-0,241211929375683+0,241445672800342i</v>
      </c>
      <c r="BD166" s="32">
        <f t="shared" si="199"/>
        <v>-9.33751591798548</v>
      </c>
      <c r="BE166" s="31">
        <f t="shared" si="200"/>
        <v>134.972252564521</v>
      </c>
      <c r="BF166" s="30" t="str">
        <f t="shared" si="201"/>
        <v>3,52324806932071+7,03102352557358i</v>
      </c>
      <c r="BG166" s="68">
        <f t="shared" si="202"/>
        <v>17.9132965416319</v>
      </c>
      <c r="BH166" s="31">
        <f t="shared" si="203"/>
        <v>63.3845365215085</v>
      </c>
      <c r="BI166" s="30" t="str">
        <f t="shared" si="156"/>
        <v>11,0913129196518+36,6362005677222i</v>
      </c>
      <c r="BJ166" s="68">
        <f t="shared" si="204"/>
        <v>31.6590533209374</v>
      </c>
      <c r="BK166" s="31">
        <f t="shared" si="157"/>
        <v>73.1567370275514</v>
      </c>
      <c r="BL166" s="32">
        <f t="shared" si="205"/>
        <v>17.9132965416319</v>
      </c>
      <c r="BM166" s="31">
        <f t="shared" si="206"/>
        <v>63.3845365215085</v>
      </c>
      <c r="BO166">
        <f t="shared" si="207"/>
        <v>0</v>
      </c>
      <c r="BP166">
        <f t="shared" si="208"/>
        <v>0</v>
      </c>
    </row>
    <row r="167" spans="14:68">
      <c r="N167" s="7">
        <v>49</v>
      </c>
      <c r="O167" s="18">
        <f t="shared" si="158"/>
        <v>309.029543251359</v>
      </c>
      <c r="P167" s="86" t="str">
        <f t="shared" si="159"/>
        <v>75</v>
      </c>
      <c r="Q167" s="4" t="str">
        <f t="shared" si="160"/>
        <v>1+3,17142681321422i</v>
      </c>
      <c r="R167" s="4">
        <f t="shared" si="171"/>
        <v>3.32534930970779</v>
      </c>
      <c r="S167" s="4">
        <f t="shared" si="172"/>
        <v>1.26534851671694</v>
      </c>
      <c r="T167" s="4" t="str">
        <f t="shared" si="161"/>
        <v>1+0,0304456974068565i</v>
      </c>
      <c r="U167" s="4">
        <f t="shared" si="173"/>
        <v>1.00046336289271</v>
      </c>
      <c r="V167" s="4">
        <f t="shared" si="174"/>
        <v>0.0304362955187337</v>
      </c>
      <c r="W167" t="str">
        <f t="shared" si="162"/>
        <v>1-0,0159703993094002i</v>
      </c>
      <c r="X167" s="4">
        <f t="shared" si="175"/>
        <v>1.00012751869654</v>
      </c>
      <c r="Y167" s="4">
        <f t="shared" si="176"/>
        <v>-0.0159690417475777</v>
      </c>
      <c r="Z167" t="str">
        <f t="shared" si="163"/>
        <v>0,999999220414216+0,00501154122116455i</v>
      </c>
      <c r="AA167" s="4">
        <f t="shared" si="177"/>
        <v>1.00001177811786</v>
      </c>
      <c r="AB167" s="4">
        <f t="shared" si="178"/>
        <v>0.00501150317276429</v>
      </c>
      <c r="AC167" s="67" t="str">
        <f t="shared" si="179"/>
        <v>6,98958497991678-21,457375771453i</v>
      </c>
      <c r="AD167" s="68">
        <f t="shared" si="180"/>
        <v>27.0695088487206</v>
      </c>
      <c r="AE167" s="31">
        <f t="shared" si="181"/>
        <v>-71.9573550196035</v>
      </c>
      <c r="AF167" s="32" t="str">
        <f t="shared" si="182"/>
        <v>249,914648392112</v>
      </c>
      <c r="AG167" s="32" t="str">
        <f t="shared" si="164"/>
        <v>1+2,03877437992343i</v>
      </c>
      <c r="AH167" s="32">
        <f t="shared" si="183"/>
        <v>2.27081504580011</v>
      </c>
      <c r="AI167" s="32">
        <f t="shared" si="184"/>
        <v>1.1147850061041</v>
      </c>
      <c r="AJ167" s="32" t="str">
        <f t="shared" si="165"/>
        <v>1+0,0304456974068565i</v>
      </c>
      <c r="AK167" s="32">
        <f t="shared" si="185"/>
        <v>1.00046336289271</v>
      </c>
      <c r="AL167" s="32">
        <f t="shared" si="186"/>
        <v>0.0304362955187337</v>
      </c>
      <c r="AM167" s="32" t="str">
        <f t="shared" si="166"/>
        <v>1-0,00308102634016502i</v>
      </c>
      <c r="AN167" s="32">
        <f t="shared" si="187"/>
        <v>1.00000474635039</v>
      </c>
      <c r="AO167" s="32">
        <f t="shared" si="188"/>
        <v>-0.00308101659111036</v>
      </c>
      <c r="AP167" s="30" t="str">
        <f t="shared" si="189"/>
        <v>51,1734238459819-97,4922333221526i</v>
      </c>
      <c r="AQ167" s="32">
        <f t="shared" si="190"/>
        <v>40.8362639999044</v>
      </c>
      <c r="AR167" s="31">
        <f t="shared" si="191"/>
        <v>-62.3051338842748</v>
      </c>
      <c r="AS167" t="str">
        <f t="shared" si="167"/>
        <v>-0,000100699300699301</v>
      </c>
      <c r="AT167" t="str">
        <f t="shared" si="168"/>
        <v>0,000436297717303613i</v>
      </c>
      <c r="AU167">
        <f t="shared" si="192"/>
        <v>0.000436297717303613</v>
      </c>
      <c r="AV167">
        <f t="shared" si="193"/>
        <v>1.5707963267949</v>
      </c>
      <c r="AW167" t="str">
        <f t="shared" si="169"/>
        <v>1+0,0223376428766485i</v>
      </c>
      <c r="AX167">
        <f t="shared" si="194"/>
        <v>1.00024945403099</v>
      </c>
      <c r="AY167">
        <f t="shared" si="195"/>
        <v>0.0223339287151628</v>
      </c>
      <c r="AZ167" t="str">
        <f t="shared" si="170"/>
        <v>1+1,06792943710275i</v>
      </c>
      <c r="BA167">
        <f t="shared" si="196"/>
        <v>1.46303563956269</v>
      </c>
      <c r="BB167">
        <f t="shared" si="197"/>
        <v>0.818235366850441</v>
      </c>
      <c r="BC167" s="30" t="str">
        <f t="shared" si="198"/>
        <v>-0,241206515093544+0,236192082071333i</v>
      </c>
      <c r="BD167" s="32">
        <f t="shared" si="199"/>
        <v>-9.43219806947803</v>
      </c>
      <c r="BE167" s="31">
        <f t="shared" si="200"/>
        <v>135.601793313544</v>
      </c>
      <c r="BF167" s="30" t="str">
        <f t="shared" si="201"/>
        <v>3,38212882429055+6,82654346210588i</v>
      </c>
      <c r="BG167" s="68">
        <f t="shared" si="202"/>
        <v>17.6373107792426</v>
      </c>
      <c r="BH167" s="31">
        <f t="shared" si="203"/>
        <v>63.6444382939405</v>
      </c>
      <c r="BI167" s="30" t="str">
        <f t="shared" si="156"/>
        <v>10,6835303428493+35,6025193732244i</v>
      </c>
      <c r="BJ167" s="68">
        <f t="shared" si="204"/>
        <v>31.4040659304264</v>
      </c>
      <c r="BK167" s="31">
        <f t="shared" si="157"/>
        <v>73.2966594292691</v>
      </c>
      <c r="BL167" s="32">
        <f t="shared" si="205"/>
        <v>17.6373107792426</v>
      </c>
      <c r="BM167" s="31">
        <f t="shared" si="206"/>
        <v>63.6444382939405</v>
      </c>
      <c r="BO167">
        <f t="shared" si="207"/>
        <v>0</v>
      </c>
      <c r="BP167">
        <f t="shared" si="208"/>
        <v>0</v>
      </c>
    </row>
    <row r="168" spans="14:68">
      <c r="N168" s="7">
        <v>50</v>
      </c>
      <c r="O168" s="18">
        <f t="shared" si="158"/>
        <v>316.227766016838</v>
      </c>
      <c r="P168" s="86" t="str">
        <f t="shared" si="159"/>
        <v>75</v>
      </c>
      <c r="Q168" s="4" t="str">
        <f t="shared" si="160"/>
        <v>1+3,24529883349339i</v>
      </c>
      <c r="R168" s="4">
        <f t="shared" si="171"/>
        <v>3.3958746323552</v>
      </c>
      <c r="S168" s="4">
        <f t="shared" si="172"/>
        <v>1.27189026987858</v>
      </c>
      <c r="T168" s="4" t="str">
        <f t="shared" si="161"/>
        <v>1+0,0311548688015366i</v>
      </c>
      <c r="U168" s="4">
        <f t="shared" si="173"/>
        <v>1.00048519521782</v>
      </c>
      <c r="V168" s="4">
        <f t="shared" si="174"/>
        <v>0.0311447947607563</v>
      </c>
      <c r="W168" t="str">
        <f t="shared" si="162"/>
        <v>1-0,0163423976972346i</v>
      </c>
      <c r="X168" s="4">
        <f t="shared" si="175"/>
        <v>1.00013352806638</v>
      </c>
      <c r="Y168" s="4">
        <f t="shared" si="176"/>
        <v>-0.0163409430540227</v>
      </c>
      <c r="Z168" t="str">
        <f t="shared" si="163"/>
        <v>0,999999183673469+0,00512827501214381i</v>
      </c>
      <c r="AA168" s="4">
        <f t="shared" si="177"/>
        <v>1.00001233320005</v>
      </c>
      <c r="AB168" s="4">
        <f t="shared" si="178"/>
        <v>0.00512823424257553</v>
      </c>
      <c r="AC168" s="67" t="str">
        <f t="shared" si="179"/>
        <v>6,71163897116016-21,0551740620611i</v>
      </c>
      <c r="AD168" s="68">
        <f t="shared" si="180"/>
        <v>26.887458231462</v>
      </c>
      <c r="AE168" s="31">
        <f t="shared" si="181"/>
        <v>-72.3195724229183</v>
      </c>
      <c r="AF168" s="32" t="str">
        <f t="shared" si="182"/>
        <v>249,914648392112</v>
      </c>
      <c r="AG168" s="32" t="str">
        <f t="shared" si="164"/>
        <v>1+2,08626353581718i</v>
      </c>
      <c r="AH168" s="32">
        <f t="shared" si="183"/>
        <v>2.31354609655403</v>
      </c>
      <c r="AI168" s="32">
        <f t="shared" si="184"/>
        <v>1.12382442358427</v>
      </c>
      <c r="AJ168" s="32" t="str">
        <f t="shared" si="165"/>
        <v>1+0,0311548688015366i</v>
      </c>
      <c r="AK168" s="32">
        <f t="shared" si="185"/>
        <v>1.00048519521782</v>
      </c>
      <c r="AL168" s="32">
        <f t="shared" si="186"/>
        <v>0.0311447947607563</v>
      </c>
      <c r="AM168" s="32" t="str">
        <f t="shared" si="166"/>
        <v>1-0,00315279266292328i</v>
      </c>
      <c r="AN168" s="32">
        <f t="shared" si="187"/>
        <v>1.00000497003844</v>
      </c>
      <c r="AO168" s="32">
        <f t="shared" si="188"/>
        <v>-0.00315278221662581</v>
      </c>
      <c r="AP168" s="30" t="str">
        <f t="shared" si="189"/>
        <v>49,4235138686305-96,1123457836478i</v>
      </c>
      <c r="AQ168" s="32">
        <f t="shared" si="190"/>
        <v>40.6745276060897</v>
      </c>
      <c r="AR168" s="31">
        <f t="shared" si="191"/>
        <v>-62.7865722062452</v>
      </c>
      <c r="AS168" t="str">
        <f t="shared" si="167"/>
        <v>-0,000100699300699301</v>
      </c>
      <c r="AT168" t="str">
        <f t="shared" si="168"/>
        <v>0,000446460396664877i</v>
      </c>
      <c r="AU168">
        <f t="shared" si="192"/>
        <v>0.000446460396664877</v>
      </c>
      <c r="AV168">
        <f t="shared" si="193"/>
        <v>1.5707963267949</v>
      </c>
      <c r="AW168" t="str">
        <f t="shared" si="169"/>
        <v>1+0,0228579534197445i</v>
      </c>
      <c r="AX168">
        <f t="shared" si="194"/>
        <v>1.00026120890222</v>
      </c>
      <c r="AY168">
        <f t="shared" si="195"/>
        <v>0.0228539736801384</v>
      </c>
      <c r="AZ168" t="str">
        <f t="shared" si="170"/>
        <v>1+1,09280470923757i</v>
      </c>
      <c r="BA168">
        <f t="shared" si="196"/>
        <v>1.48129069818581</v>
      </c>
      <c r="BB168">
        <f t="shared" si="197"/>
        <v>0.829713788549334</v>
      </c>
      <c r="BC168" s="30" t="str">
        <f t="shared" si="198"/>
        <v>-0,241200845904652+0,231063712113871i</v>
      </c>
      <c r="BD168" s="32">
        <f t="shared" si="199"/>
        <v>-9.52459234480968</v>
      </c>
      <c r="BE168" s="31">
        <f t="shared" si="200"/>
        <v>136.229662050712</v>
      </c>
      <c r="BF168" s="30" t="str">
        <f t="shared" si="201"/>
        <v>3,24623368073307+6,62934200948321i</v>
      </c>
      <c r="BG168" s="68">
        <f t="shared" si="202"/>
        <v>17.3628658866523</v>
      </c>
      <c r="BH168" s="31">
        <f t="shared" si="203"/>
        <v>63.9100896277936</v>
      </c>
      <c r="BI168" s="30" t="str">
        <f t="shared" si="156"/>
        <v>10,2870820440476+34,6023596850934i</v>
      </c>
      <c r="BJ168" s="68">
        <f t="shared" si="204"/>
        <v>31.14993526128</v>
      </c>
      <c r="BK168" s="31">
        <f t="shared" si="157"/>
        <v>73.4430898444667</v>
      </c>
      <c r="BL168" s="32">
        <f t="shared" si="205"/>
        <v>17.3628658866523</v>
      </c>
      <c r="BM168" s="31">
        <f t="shared" si="206"/>
        <v>63.9100896277936</v>
      </c>
      <c r="BO168">
        <f t="shared" si="207"/>
        <v>0</v>
      </c>
      <c r="BP168">
        <f t="shared" si="208"/>
        <v>0</v>
      </c>
    </row>
    <row r="169" spans="14:68">
      <c r="N169" s="7">
        <v>51</v>
      </c>
      <c r="O169" s="18">
        <f t="shared" si="158"/>
        <v>323.593656929628</v>
      </c>
      <c r="P169" s="86" t="str">
        <f t="shared" si="159"/>
        <v>75</v>
      </c>
      <c r="Q169" s="4" t="str">
        <f t="shared" si="160"/>
        <v>1+3,32089155417069i</v>
      </c>
      <c r="R169" s="4">
        <f t="shared" si="171"/>
        <v>3.46818694919438</v>
      </c>
      <c r="S169" s="4">
        <f t="shared" si="172"/>
        <v>1.27830869989058</v>
      </c>
      <c r="T169" s="4" t="str">
        <f t="shared" si="161"/>
        <v>1+0,0318805589200387i</v>
      </c>
      <c r="U169" s="4">
        <f t="shared" si="173"/>
        <v>1.0005080559581</v>
      </c>
      <c r="V169" s="4">
        <f t="shared" si="174"/>
        <v>0.0318697646868853</v>
      </c>
      <c r="W169" t="str">
        <f t="shared" si="162"/>
        <v>1-0,0167230610406453i</v>
      </c>
      <c r="X169" s="4">
        <f t="shared" si="175"/>
        <v>1.00013982061038</v>
      </c>
      <c r="Y169" s="4">
        <f t="shared" si="176"/>
        <v>-0.01672150237413</v>
      </c>
      <c r="Z169" t="str">
        <f t="shared" si="163"/>
        <v>0,999999145201185+0,00524772788241525i</v>
      </c>
      <c r="AA169" s="4">
        <f t="shared" si="177"/>
        <v>1.00001291444212</v>
      </c>
      <c r="AB169" s="4">
        <f t="shared" si="178"/>
        <v>0.00524768419706621</v>
      </c>
      <c r="AC169" s="67" t="str">
        <f t="shared" si="179"/>
        <v>6,44407329773673-20,6570658351723i</v>
      </c>
      <c r="AD169" s="68">
        <f t="shared" si="180"/>
        <v>26.7046892809805</v>
      </c>
      <c r="AE169" s="31">
        <f t="shared" si="181"/>
        <v>-72.6744320778168</v>
      </c>
      <c r="AF169" s="32" t="str">
        <f t="shared" si="182"/>
        <v>249,914648392112</v>
      </c>
      <c r="AG169" s="32" t="str">
        <f t="shared" si="164"/>
        <v>1+2,13485885625259i</v>
      </c>
      <c r="AH169" s="32">
        <f t="shared" si="183"/>
        <v>2.3574609935522</v>
      </c>
      <c r="AI169" s="32">
        <f t="shared" si="184"/>
        <v>1.13273441988594</v>
      </c>
      <c r="AJ169" s="32" t="str">
        <f t="shared" si="165"/>
        <v>1+0,0318805589200387i</v>
      </c>
      <c r="AK169" s="32">
        <f t="shared" si="185"/>
        <v>1.0005080559581</v>
      </c>
      <c r="AL169" s="32">
        <f t="shared" si="186"/>
        <v>0.0318697646868853</v>
      </c>
      <c r="AM169" s="32" t="str">
        <f t="shared" si="166"/>
        <v>1-0,00322623063808357i</v>
      </c>
      <c r="AN169" s="32">
        <f t="shared" si="187"/>
        <v>1.00000520426852</v>
      </c>
      <c r="AO169" s="32">
        <f t="shared" si="188"/>
        <v>-0.00322621944467731</v>
      </c>
      <c r="AP169" s="30" t="str">
        <f t="shared" si="189"/>
        <v>47,7233522715101-94,7214848693984i</v>
      </c>
      <c r="AQ169" s="32">
        <f t="shared" si="190"/>
        <v>40.5114009364528</v>
      </c>
      <c r="AR169" s="31">
        <f t="shared" si="191"/>
        <v>-63.2597473159936</v>
      </c>
      <c r="AS169" t="str">
        <f t="shared" si="167"/>
        <v>-0,000100699300699301</v>
      </c>
      <c r="AT169" t="str">
        <f t="shared" si="168"/>
        <v>0,000456859795238054i</v>
      </c>
      <c r="AU169">
        <f t="shared" si="192"/>
        <v>0.000456859795238054</v>
      </c>
      <c r="AV169">
        <f t="shared" si="193"/>
        <v>1.5707963267949</v>
      </c>
      <c r="AW169" t="str">
        <f t="shared" si="169"/>
        <v>1+0,0233903835523044i</v>
      </c>
      <c r="AX169">
        <f t="shared" si="194"/>
        <v>1.00027351761542</v>
      </c>
      <c r="AY169">
        <f t="shared" si="195"/>
        <v>0.0233861192474618</v>
      </c>
      <c r="AZ169" t="str">
        <f t="shared" si="170"/>
        <v>1+1,11825940089421i</v>
      </c>
      <c r="BA169">
        <f t="shared" si="196"/>
        <v>1.50016801981921</v>
      </c>
      <c r="BB169">
        <f t="shared" si="197"/>
        <v>0.841168842522766</v>
      </c>
      <c r="BC169" s="30" t="str">
        <f t="shared" si="198"/>
        <v>-0,241194909820739+0,2260578429841i</v>
      </c>
      <c r="BD169" s="32">
        <f t="shared" si="199"/>
        <v>-9.61470708088667</v>
      </c>
      <c r="BE169" s="31">
        <f t="shared" si="200"/>
        <v>136.85549860239</v>
      </c>
      <c r="BF169" s="30" t="str">
        <f t="shared" si="201"/>
        <v>3,11541406715375+6,43911244099325i</v>
      </c>
      <c r="BG169" s="68">
        <f t="shared" si="202"/>
        <v>17.0899822000938</v>
      </c>
      <c r="BH169" s="31">
        <f t="shared" si="203"/>
        <v>64.181066524573</v>
      </c>
      <c r="BI169" s="30" t="str">
        <f t="shared" si="156"/>
        <v>9,90190490635703+33,634578075629i</v>
      </c>
      <c r="BJ169" s="68">
        <f t="shared" si="204"/>
        <v>30.8966938555661</v>
      </c>
      <c r="BK169" s="31">
        <f t="shared" si="157"/>
        <v>73.5957512863963</v>
      </c>
      <c r="BL169" s="32">
        <f t="shared" si="205"/>
        <v>17.0899822000938</v>
      </c>
      <c r="BM169" s="31">
        <f t="shared" si="206"/>
        <v>64.181066524573</v>
      </c>
      <c r="BO169">
        <f t="shared" si="207"/>
        <v>0</v>
      </c>
      <c r="BP169">
        <f t="shared" si="208"/>
        <v>0</v>
      </c>
    </row>
    <row r="170" spans="14:68">
      <c r="N170" s="7">
        <v>52</v>
      </c>
      <c r="O170" s="18">
        <f t="shared" si="158"/>
        <v>331.131121482591</v>
      </c>
      <c r="P170" s="86" t="str">
        <f t="shared" si="159"/>
        <v>75</v>
      </c>
      <c r="Q170" s="4" t="str">
        <f t="shared" si="160"/>
        <v>1+3,3982450555072i</v>
      </c>
      <c r="R170" s="4">
        <f t="shared" si="171"/>
        <v>3.54232543074167</v>
      </c>
      <c r="S170" s="4">
        <f t="shared" si="172"/>
        <v>1.2846050937886</v>
      </c>
      <c r="T170" s="4" t="str">
        <f t="shared" si="161"/>
        <v>1+0,0326231525328692i</v>
      </c>
      <c r="U170" s="4">
        <f t="shared" si="173"/>
        <v>1.00053199353203</v>
      </c>
      <c r="V170" s="4">
        <f t="shared" si="174"/>
        <v>0.0326115866357828</v>
      </c>
      <c r="W170" t="str">
        <f t="shared" si="162"/>
        <v>1-0,0171125911723756i</v>
      </c>
      <c r="X170" s="4">
        <f t="shared" si="175"/>
        <v>1.00014640967042</v>
      </c>
      <c r="Y170" s="4">
        <f t="shared" si="176"/>
        <v>-0.0171109210443184</v>
      </c>
      <c r="Z170" t="str">
        <f t="shared" si="163"/>
        <v>0,999999104915758+0,00536996316747184i</v>
      </c>
      <c r="AA170" s="4">
        <f t="shared" si="177"/>
        <v>1.00001352307693</v>
      </c>
      <c r="AB170" s="4">
        <f t="shared" si="178"/>
        <v>0.00536991635781114</v>
      </c>
      <c r="AC170" s="67" t="str">
        <f t="shared" si="179"/>
        <v>6,18658516011443-20,2632340112479i</v>
      </c>
      <c r="AD170" s="68">
        <f t="shared" si="180"/>
        <v>26.5212298824348</v>
      </c>
      <c r="AE170" s="31">
        <f t="shared" si="181"/>
        <v>-73.0220010407001</v>
      </c>
      <c r="AF170" s="32" t="str">
        <f t="shared" si="182"/>
        <v>249,914648392112</v>
      </c>
      <c r="AG170" s="32" t="str">
        <f t="shared" si="164"/>
        <v>1+2,18458610711177i</v>
      </c>
      <c r="AH170" s="32">
        <f t="shared" si="183"/>
        <v>2.40258536984344</v>
      </c>
      <c r="AI170" s="32">
        <f t="shared" si="184"/>
        <v>1.14151405942667</v>
      </c>
      <c r="AJ170" s="32" t="str">
        <f t="shared" si="165"/>
        <v>1+0,0326231525328692i</v>
      </c>
      <c r="AK170" s="32">
        <f t="shared" si="185"/>
        <v>1.00053199353203</v>
      </c>
      <c r="AL170" s="32">
        <f t="shared" si="186"/>
        <v>0.0326115866357828</v>
      </c>
      <c r="AM170" s="32" t="str">
        <f t="shared" si="166"/>
        <v>1-0,00330137920343237i</v>
      </c>
      <c r="AN170" s="32">
        <f t="shared" si="187"/>
        <v>1.00000544953747</v>
      </c>
      <c r="AO170" s="32">
        <f t="shared" si="188"/>
        <v>-0.003301367209485</v>
      </c>
      <c r="AP170" s="30" t="str">
        <f t="shared" si="189"/>
        <v>46,0725735583427-93,3215634425811i</v>
      </c>
      <c r="AQ170" s="32">
        <f t="shared" si="190"/>
        <v>40.3469246273085</v>
      </c>
      <c r="AR170" s="31">
        <f t="shared" si="191"/>
        <v>-63.7245859902648</v>
      </c>
      <c r="AS170" t="str">
        <f t="shared" si="167"/>
        <v>-0,000100699300699301</v>
      </c>
      <c r="AT170" t="str">
        <f t="shared" si="168"/>
        <v>0,000467501426921921i</v>
      </c>
      <c r="AU170">
        <f t="shared" si="192"/>
        <v>0.000467501426921921</v>
      </c>
      <c r="AV170">
        <f t="shared" si="193"/>
        <v>1.5707963267949</v>
      </c>
      <c r="AW170" t="str">
        <f t="shared" si="169"/>
        <v>1+0,0239352155758321i</v>
      </c>
      <c r="AX170">
        <f t="shared" si="194"/>
        <v>1.00028640625806</v>
      </c>
      <c r="AY170">
        <f t="shared" si="195"/>
        <v>0.0239306463615265</v>
      </c>
      <c r="AZ170" t="str">
        <f t="shared" si="170"/>
        <v>1+1,14430700848712i</v>
      </c>
      <c r="BA170">
        <f t="shared" si="196"/>
        <v>1.51968369395501</v>
      </c>
      <c r="BB170">
        <f t="shared" si="197"/>
        <v>0.852594578476312</v>
      </c>
      <c r="BC170" s="30" t="str">
        <f t="shared" si="198"/>
        <v>-0,241188694290962+0,221171819631593i</v>
      </c>
      <c r="BD170" s="32">
        <f t="shared" si="199"/>
        <v>-9.70255298871461</v>
      </c>
      <c r="BE170" s="31">
        <f t="shared" si="200"/>
        <v>137.478945944892</v>
      </c>
      <c r="BF170" s="30" t="str">
        <f t="shared" si="201"/>
        <v>2,98952194100064+6,25556125045341i</v>
      </c>
      <c r="BG170" s="68">
        <f t="shared" si="202"/>
        <v>16.8186768937202</v>
      </c>
      <c r="BH170" s="31">
        <f t="shared" si="203"/>
        <v>64.4569449041923</v>
      </c>
      <c r="BI170" s="30" t="str">
        <f t="shared" si="156"/>
        <v>9,52791613829983+32,6980609649164i</v>
      </c>
      <c r="BJ170" s="68">
        <f t="shared" si="204"/>
        <v>30.6443716385938</v>
      </c>
      <c r="BK170" s="31">
        <f t="shared" si="157"/>
        <v>73.7543599546277</v>
      </c>
      <c r="BL170" s="32">
        <f t="shared" si="205"/>
        <v>16.8186768937202</v>
      </c>
      <c r="BM170" s="31">
        <f t="shared" si="206"/>
        <v>64.4569449041923</v>
      </c>
      <c r="BO170">
        <f t="shared" si="207"/>
        <v>0</v>
      </c>
      <c r="BP170">
        <f t="shared" si="208"/>
        <v>0</v>
      </c>
    </row>
    <row r="171" spans="14:68">
      <c r="N171" s="7">
        <v>53</v>
      </c>
      <c r="O171" s="18">
        <f t="shared" si="158"/>
        <v>338.844156139203</v>
      </c>
      <c r="P171" s="86" t="str">
        <f t="shared" si="159"/>
        <v>75</v>
      </c>
      <c r="Q171" s="4" t="str">
        <f t="shared" si="160"/>
        <v>1+3,47740035135326i</v>
      </c>
      <c r="R171" s="4">
        <f t="shared" si="171"/>
        <v>3.61833016785254</v>
      </c>
      <c r="S171" s="4">
        <f t="shared" si="172"/>
        <v>1.29078079230997</v>
      </c>
      <c r="T171" s="4" t="str">
        <f t="shared" si="161"/>
        <v>1+0,0333830433729914i</v>
      </c>
      <c r="U171" s="4">
        <f t="shared" si="173"/>
        <v>1.00055705863526</v>
      </c>
      <c r="V171" s="4">
        <f t="shared" si="174"/>
        <v>0.0333706506636026</v>
      </c>
      <c r="W171" t="str">
        <f t="shared" si="162"/>
        <v>1-0,0175111946264575i</v>
      </c>
      <c r="X171" s="4">
        <f t="shared" si="175"/>
        <v>1.00015330921676</v>
      </c>
      <c r="Y171" s="4">
        <f t="shared" si="176"/>
        <v>-0.0175094050668171</v>
      </c>
      <c r="Z171" t="str">
        <f t="shared" si="163"/>
        <v>0,999999062731738+0,00549504567807973i</v>
      </c>
      <c r="AA171" s="4">
        <f t="shared" si="177"/>
        <v>1.00001416039542</v>
      </c>
      <c r="AB171" s="4">
        <f t="shared" si="178"/>
        <v>0.00549499552066293</v>
      </c>
      <c r="AC171" s="67" t="str">
        <f t="shared" si="179"/>
        <v>5,93887357020275-19,8738448796539i</v>
      </c>
      <c r="AD171" s="68">
        <f t="shared" si="180"/>
        <v>26.3371071379903</v>
      </c>
      <c r="AE171" s="31">
        <f t="shared" si="181"/>
        <v>-73.3623492971745</v>
      </c>
      <c r="AF171" s="32" t="str">
        <f t="shared" si="182"/>
        <v>249,914648392112</v>
      </c>
      <c r="AG171" s="32" t="str">
        <f t="shared" si="164"/>
        <v>1+2,23547165444138i</v>
      </c>
      <c r="AH171" s="32">
        <f t="shared" si="183"/>
        <v>2.44894538889925</v>
      </c>
      <c r="AI171" s="32">
        <f t="shared" si="184"/>
        <v>1.15016258224249</v>
      </c>
      <c r="AJ171" s="32" t="str">
        <f t="shared" si="165"/>
        <v>1+0,0333830433729914i</v>
      </c>
      <c r="AK171" s="32">
        <f t="shared" si="185"/>
        <v>1.00055705863526</v>
      </c>
      <c r="AL171" s="32">
        <f t="shared" si="186"/>
        <v>0.0333706506636026</v>
      </c>
      <c r="AM171" s="32" t="str">
        <f t="shared" si="166"/>
        <v>1-0,00337827820373379i</v>
      </c>
      <c r="AN171" s="32">
        <f t="shared" si="187"/>
        <v>1.00000570636553</v>
      </c>
      <c r="AO171" s="32">
        <f t="shared" si="188"/>
        <v>-0.0033782653519916</v>
      </c>
      <c r="AP171" s="30" t="str">
        <f t="shared" si="189"/>
        <v>44,4707315080264-91,9144294011032i</v>
      </c>
      <c r="AQ171" s="32">
        <f t="shared" si="190"/>
        <v>40.1811390052349</v>
      </c>
      <c r="AR171" s="31">
        <f t="shared" si="191"/>
        <v>-64.1810246204777</v>
      </c>
      <c r="AS171" t="str">
        <f t="shared" si="167"/>
        <v>-0,000100699300699301</v>
      </c>
      <c r="AT171" t="str">
        <f t="shared" si="168"/>
        <v>0,000478390934050456i</v>
      </c>
      <c r="AU171">
        <f t="shared" si="192"/>
        <v>0.000478390934050456</v>
      </c>
      <c r="AV171">
        <f t="shared" si="193"/>
        <v>1.5707963267949</v>
      </c>
      <c r="AW171" t="str">
        <f t="shared" si="169"/>
        <v>1+0,0244927383674783i</v>
      </c>
      <c r="AX171">
        <f t="shared" si="194"/>
        <v>1.00029990214572</v>
      </c>
      <c r="AY171">
        <f t="shared" si="195"/>
        <v>0.0244878424454152</v>
      </c>
      <c r="AZ171" t="str">
        <f t="shared" si="170"/>
        <v>1+1,17096134280263i</v>
      </c>
      <c r="BA171">
        <f t="shared" si="196"/>
        <v>1.53985404059545</v>
      </c>
      <c r="BB171">
        <f t="shared" si="197"/>
        <v>0.863985122616545</v>
      </c>
      <c r="BC171" s="30" t="str">
        <f t="shared" si="198"/>
        <v>-0,241182186175631+0,216403050487468i</v>
      </c>
      <c r="BD171" s="32">
        <f t="shared" si="199"/>
        <v>-9.78814311012825</v>
      </c>
      <c r="BE171" s="31">
        <f t="shared" si="200"/>
        <v>138.099651066517</v>
      </c>
      <c r="BF171" s="30" t="str">
        <f t="shared" si="201"/>
        <v>2,86841014578968+6,07840771284157i</v>
      </c>
      <c r="BG171" s="68">
        <f t="shared" si="202"/>
        <v>16.548964027862</v>
      </c>
      <c r="BH171" s="31">
        <f t="shared" si="203"/>
        <v>64.7373017693428</v>
      </c>
      <c r="BI171" s="30" t="str">
        <f t="shared" si="156"/>
        <v>9,16501466027843+31,7917249797898i</v>
      </c>
      <c r="BJ171" s="68">
        <f t="shared" si="204"/>
        <v>30.3929958951067</v>
      </c>
      <c r="BK171" s="31">
        <f t="shared" si="157"/>
        <v>73.9186264460396</v>
      </c>
      <c r="BL171" s="32">
        <f t="shared" si="205"/>
        <v>16.548964027862</v>
      </c>
      <c r="BM171" s="31">
        <f t="shared" si="206"/>
        <v>64.7373017693428</v>
      </c>
      <c r="BO171">
        <f t="shared" si="207"/>
        <v>0</v>
      </c>
      <c r="BP171">
        <f t="shared" si="208"/>
        <v>0</v>
      </c>
    </row>
    <row r="172" spans="14:68">
      <c r="N172" s="7">
        <v>54</v>
      </c>
      <c r="O172" s="18">
        <f t="shared" si="158"/>
        <v>346.736850452532</v>
      </c>
      <c r="P172" s="86" t="str">
        <f t="shared" si="159"/>
        <v>75</v>
      </c>
      <c r="Q172" s="4" t="str">
        <f t="shared" si="160"/>
        <v>1+3,55839941089441i</v>
      </c>
      <c r="R172" s="4">
        <f t="shared" si="171"/>
        <v>3.69624219545387</v>
      </c>
      <c r="S172" s="4">
        <f t="shared" si="172"/>
        <v>1.29683718487665</v>
      </c>
      <c r="T172" s="4" t="str">
        <f t="shared" si="161"/>
        <v>1+0,0341606343445864i</v>
      </c>
      <c r="U172" s="4">
        <f t="shared" si="173"/>
        <v>1.00058330434743</v>
      </c>
      <c r="V172" s="4">
        <f t="shared" si="174"/>
        <v>0.03414735573529</v>
      </c>
      <c r="W172" t="str">
        <f t="shared" si="162"/>
        <v>1-0,0179190827477183i</v>
      </c>
      <c r="X172" s="4">
        <f t="shared" si="175"/>
        <v>1.0001605338777</v>
      </c>
      <c r="Y172" s="4">
        <f t="shared" si="176"/>
        <v>-0.0179171652166383</v>
      </c>
      <c r="Z172" t="str">
        <f t="shared" si="163"/>
        <v>0,999999018559645+0,0056230417346416i</v>
      </c>
      <c r="AA172" s="4">
        <f t="shared" si="177"/>
        <v>1.00001482774937</v>
      </c>
      <c r="AB172" s="4">
        <f t="shared" si="178"/>
        <v>0.00562298799004419</v>
      </c>
      <c r="AC172" s="67" t="str">
        <f t="shared" si="179"/>
        <v>5,70064001461414-19,4890487859135i</v>
      </c>
      <c r="AD172" s="68">
        <f t="shared" si="180"/>
        <v>26.1523473737196</v>
      </c>
      <c r="AE172" s="31">
        <f t="shared" si="181"/>
        <v>-73.6955494717292</v>
      </c>
      <c r="AF172" s="32" t="str">
        <f t="shared" si="182"/>
        <v>249,914648392112</v>
      </c>
      <c r="AG172" s="32" t="str">
        <f t="shared" si="164"/>
        <v>1+2,28754247843212i</v>
      </c>
      <c r="AH172" s="32">
        <f t="shared" si="183"/>
        <v>2.49656776207484</v>
      </c>
      <c r="AI172" s="32">
        <f t="shared" si="184"/>
        <v>1.15867939779315</v>
      </c>
      <c r="AJ172" s="32" t="str">
        <f t="shared" si="165"/>
        <v>1+0,0341606343445864i</v>
      </c>
      <c r="AK172" s="32">
        <f t="shared" si="185"/>
        <v>1.00058330434743</v>
      </c>
      <c r="AL172" s="32">
        <f t="shared" si="186"/>
        <v>0.03414735573529</v>
      </c>
      <c r="AM172" s="32" t="str">
        <f t="shared" si="166"/>
        <v>1-0,00345696841185558i</v>
      </c>
      <c r="AN172" s="32">
        <f t="shared" si="187"/>
        <v>1.00000597529745</v>
      </c>
      <c r="AO172" s="32">
        <f t="shared" si="188"/>
        <v>-0.00345695464097016</v>
      </c>
      <c r="AP172" s="30" t="str">
        <f t="shared" si="189"/>
        <v>42,9173052919082-90,5018630391523i</v>
      </c>
      <c r="AQ172" s="32">
        <f t="shared" si="190"/>
        <v>40.0140840250048</v>
      </c>
      <c r="AR172" s="31">
        <f t="shared" si="191"/>
        <v>-64.6290088480393</v>
      </c>
      <c r="AS172" t="str">
        <f t="shared" si="167"/>
        <v>-0,000100699300699301</v>
      </c>
      <c r="AT172" t="str">
        <f t="shared" si="168"/>
        <v>0,000489534090384475i</v>
      </c>
      <c r="AU172">
        <f t="shared" si="192"/>
        <v>0.000489534090384475</v>
      </c>
      <c r="AV172">
        <f t="shared" si="193"/>
        <v>1.5707963267949</v>
      </c>
      <c r="AW172" t="str">
        <f t="shared" si="169"/>
        <v>1+0,0250632475332064i</v>
      </c>
      <c r="AX172">
        <f t="shared" si="194"/>
        <v>1.00031403387982</v>
      </c>
      <c r="AY172">
        <f t="shared" si="195"/>
        <v>0.0250580015471436</v>
      </c>
      <c r="AZ172" t="str">
        <f t="shared" si="170"/>
        <v>1+1,19823653632159i</v>
      </c>
      <c r="BA172">
        <f t="shared" si="196"/>
        <v>1.56069561317252</v>
      </c>
      <c r="BB172">
        <f t="shared" si="197"/>
        <v>0.875334692356383</v>
      </c>
      <c r="BC172" s="30" t="str">
        <f t="shared" si="198"/>
        <v>-0,241175371718703+0,211749006085868i</v>
      </c>
      <c r="BD172" s="32">
        <f t="shared" si="199"/>
        <v>-9.87149276527375</v>
      </c>
      <c r="BE172" s="31">
        <f t="shared" si="200"/>
        <v>138.717265801719</v>
      </c>
      <c r="BF172" s="30" t="str">
        <f t="shared" si="201"/>
        <v>2,7519327354171+5,9073834425345i</v>
      </c>
      <c r="BG172" s="68">
        <f t="shared" si="202"/>
        <v>16.2808546084459</v>
      </c>
      <c r="BH172" s="31">
        <f t="shared" si="203"/>
        <v>65.0217163299902</v>
      </c>
      <c r="BI172" s="30" t="str">
        <f t="shared" si="156"/>
        <v>8,81308249051883+30,914517199148i</v>
      </c>
      <c r="BJ172" s="68">
        <f t="shared" si="204"/>
        <v>30.142591259731</v>
      </c>
      <c r="BK172" s="31">
        <f t="shared" si="157"/>
        <v>74.0882569536801</v>
      </c>
      <c r="BL172" s="32">
        <f t="shared" si="205"/>
        <v>16.2808546084459</v>
      </c>
      <c r="BM172" s="31">
        <f t="shared" si="206"/>
        <v>65.0217163299902</v>
      </c>
      <c r="BO172">
        <f t="shared" si="207"/>
        <v>0</v>
      </c>
      <c r="BP172">
        <f t="shared" si="208"/>
        <v>0</v>
      </c>
    </row>
    <row r="173" spans="14:68">
      <c r="N173" s="7">
        <v>55</v>
      </c>
      <c r="O173" s="18">
        <f t="shared" si="158"/>
        <v>354.813389233576</v>
      </c>
      <c r="P173" s="86" t="str">
        <f t="shared" si="159"/>
        <v>75</v>
      </c>
      <c r="Q173" s="4" t="str">
        <f t="shared" si="160"/>
        <v>1+3,64128518090423i</v>
      </c>
      <c r="R173" s="4">
        <f t="shared" si="171"/>
        <v>3.77610351667863</v>
      </c>
      <c r="S173" s="4">
        <f t="shared" si="172"/>
        <v>1.30277570479078</v>
      </c>
      <c r="T173" s="4" t="str">
        <f t="shared" si="161"/>
        <v>1+0,0349563377366807i</v>
      </c>
      <c r="U173" s="4">
        <f t="shared" si="173"/>
        <v>1.00061078624406</v>
      </c>
      <c r="V173" s="4">
        <f t="shared" si="174"/>
        <v>0.0349421099195054</v>
      </c>
      <c r="W173" t="str">
        <f t="shared" si="162"/>
        <v>1-0,0183364718038392i</v>
      </c>
      <c r="X173" s="4">
        <f t="shared" si="175"/>
        <v>1.00016809897047</v>
      </c>
      <c r="Y173" s="4">
        <f t="shared" si="176"/>
        <v>-0.0183344171509191</v>
      </c>
      <c r="Z173" t="str">
        <f t="shared" si="163"/>
        <v>0,999998972305786+0,005754019202361i</v>
      </c>
      <c r="AA173" s="4">
        <f t="shared" si="177"/>
        <v>1.00001552655427</v>
      </c>
      <c r="AB173" s="4">
        <f t="shared" si="178"/>
        <v>0.00575396161403556</v>
      </c>
      <c r="AC173" s="67" t="str">
        <f t="shared" si="179"/>
        <v>5,47158905358586-19,1089808242729i</v>
      </c>
      <c r="AD173" s="68">
        <f t="shared" si="180"/>
        <v>25.9669761482441</v>
      </c>
      <c r="AE173" s="31">
        <f t="shared" si="181"/>
        <v>-74.0216765495678</v>
      </c>
      <c r="AF173" s="32" t="str">
        <f t="shared" si="182"/>
        <v>249,914648392112</v>
      </c>
      <c r="AG173" s="32" t="str">
        <f t="shared" si="164"/>
        <v>1+2,34082618772415i</v>
      </c>
      <c r="AH173" s="32">
        <f t="shared" si="183"/>
        <v>2.54547976639674</v>
      </c>
      <c r="AI173" s="32">
        <f t="shared" si="184"/>
        <v>1.16706407854518</v>
      </c>
      <c r="AJ173" s="32" t="str">
        <f t="shared" si="165"/>
        <v>1+0,0349563377366807i</v>
      </c>
      <c r="AK173" s="32">
        <f t="shared" si="185"/>
        <v>1.00061078624406</v>
      </c>
      <c r="AL173" s="32">
        <f t="shared" si="186"/>
        <v>0.0349421099195054</v>
      </c>
      <c r="AM173" s="32" t="str">
        <f t="shared" si="166"/>
        <v>1-0,00353749155038776i</v>
      </c>
      <c r="AN173" s="32">
        <f t="shared" si="187"/>
        <v>1.00000625690366</v>
      </c>
      <c r="AO173" s="32">
        <f t="shared" si="188"/>
        <v>-0.00353747679462317</v>
      </c>
      <c r="AP173" s="30" t="str">
        <f t="shared" si="189"/>
        <v>41,4117055461796-89,0855749232854i</v>
      </c>
      <c r="AQ173" s="32">
        <f t="shared" si="190"/>
        <v>39.8457992125047</v>
      </c>
      <c r="AR173" s="31">
        <f t="shared" si="191"/>
        <v>-65.0684931867509</v>
      </c>
      <c r="AS173" t="str">
        <f t="shared" si="167"/>
        <v>-0,000100699300699301</v>
      </c>
      <c r="AT173" t="str">
        <f t="shared" si="168"/>
        <v>0,000500936804172967i</v>
      </c>
      <c r="AU173">
        <f t="shared" si="192"/>
        <v>0.000500936804172967</v>
      </c>
      <c r="AV173">
        <f t="shared" si="193"/>
        <v>1.5707963267949</v>
      </c>
      <c r="AW173" t="str">
        <f t="shared" si="169"/>
        <v>1+0,0256470455645281i</v>
      </c>
      <c r="AX173">
        <f t="shared" si="194"/>
        <v>1.00032883140805</v>
      </c>
      <c r="AY173">
        <f t="shared" si="195"/>
        <v>0.0256414244889802</v>
      </c>
      <c r="AZ173" t="str">
        <f t="shared" si="170"/>
        <v>1+1,22614705071265i</v>
      </c>
      <c r="BA173">
        <f t="shared" si="196"/>
        <v>1.58222520204026</v>
      </c>
      <c r="BB173">
        <f t="shared" si="197"/>
        <v>0.886637610450136</v>
      </c>
      <c r="BC173" s="30" t="str">
        <f t="shared" si="198"/>
        <v>-0,241168236519031+0,207207217718043i</v>
      </c>
      <c r="BD173" s="32">
        <f t="shared" si="199"/>
        <v>-9.95261949130615</v>
      </c>
      <c r="BE173" s="31">
        <f t="shared" si="200"/>
        <v>139.331447632435</v>
      </c>
      <c r="BF173" s="30" t="str">
        <f t="shared" si="201"/>
        <v>2,63994526701489+5,7422319513559i</v>
      </c>
      <c r="BG173" s="68">
        <f t="shared" si="202"/>
        <v>16.014356656938</v>
      </c>
      <c r="BH173" s="31">
        <f t="shared" si="203"/>
        <v>65.3097710828675</v>
      </c>
      <c r="BI173" s="30" t="str">
        <f t="shared" si="156"/>
        <v>8,47198612084872+30,0654152907155i</v>
      </c>
      <c r="BJ173" s="68">
        <f t="shared" si="204"/>
        <v>29.8931797211986</v>
      </c>
      <c r="BK173" s="31">
        <f t="shared" si="157"/>
        <v>74.2629544456844</v>
      </c>
      <c r="BL173" s="32">
        <f t="shared" si="205"/>
        <v>16.014356656938</v>
      </c>
      <c r="BM173" s="31">
        <f t="shared" si="206"/>
        <v>65.3097710828675</v>
      </c>
      <c r="BO173">
        <f t="shared" si="207"/>
        <v>0</v>
      </c>
      <c r="BP173">
        <f t="shared" si="208"/>
        <v>0</v>
      </c>
    </row>
    <row r="174" spans="14:68">
      <c r="N174" s="7">
        <v>56</v>
      </c>
      <c r="O174" s="18">
        <f t="shared" si="158"/>
        <v>363.078054770102</v>
      </c>
      <c r="P174" s="86" t="str">
        <f t="shared" si="159"/>
        <v>75</v>
      </c>
      <c r="Q174" s="4" t="str">
        <f t="shared" si="160"/>
        <v>1+3,72610160851505i</v>
      </c>
      <c r="R174" s="4">
        <f t="shared" si="171"/>
        <v>3.85795712741581</v>
      </c>
      <c r="S174" s="4">
        <f t="shared" si="172"/>
        <v>1.3085978246437</v>
      </c>
      <c r="T174" s="4" t="str">
        <f t="shared" si="161"/>
        <v>1+0,0357705754417446i</v>
      </c>
      <c r="U174" s="4">
        <f t="shared" si="173"/>
        <v>1.00063956251361</v>
      </c>
      <c r="V174" s="4">
        <f t="shared" si="174"/>
        <v>0.0357553305871909</v>
      </c>
      <c r="W174" t="str">
        <f t="shared" si="162"/>
        <v>1-0,0187635831000222i</v>
      </c>
      <c r="X174" s="4">
        <f t="shared" si="175"/>
        <v>1.00017602053376</v>
      </c>
      <c r="Y174" s="4">
        <f t="shared" si="176"/>
        <v>-0.0187613815206784</v>
      </c>
      <c r="Z174" t="str">
        <f t="shared" si="163"/>
        <v>0,99999892387205+0,00588804752722489i</v>
      </c>
      <c r="AA174" s="4">
        <f t="shared" si="177"/>
        <v>1.0000162582923</v>
      </c>
      <c r="AB174" s="4">
        <f t="shared" si="178"/>
        <v>0.00588798582027654</v>
      </c>
      <c r="AC174" s="67" t="str">
        <f t="shared" si="179"/>
        <v>5,25142885849769-18,7337615314252i</v>
      </c>
      <c r="AD174" s="68">
        <f t="shared" si="180"/>
        <v>25.7810182629514</v>
      </c>
      <c r="AE174" s="31">
        <f t="shared" si="181"/>
        <v>-74.3408076106482</v>
      </c>
      <c r="AF174" s="32" t="str">
        <f t="shared" si="182"/>
        <v>249,914648392112</v>
      </c>
      <c r="AG174" s="32" t="str">
        <f t="shared" si="164"/>
        <v>1+2,39535103404539i</v>
      </c>
      <c r="AH174" s="32">
        <f t="shared" si="183"/>
        <v>2.59570926266836</v>
      </c>
      <c r="AI174" s="32">
        <f t="shared" si="184"/>
        <v>1.17531635337957</v>
      </c>
      <c r="AJ174" s="32" t="str">
        <f t="shared" si="165"/>
        <v>1+0,0357705754417446i</v>
      </c>
      <c r="AK174" s="32">
        <f t="shared" si="185"/>
        <v>1.00063956251361</v>
      </c>
      <c r="AL174" s="32">
        <f t="shared" si="186"/>
        <v>0.0357553305871909</v>
      </c>
      <c r="AM174" s="32" t="str">
        <f t="shared" si="166"/>
        <v>1-0,00361989031376417i</v>
      </c>
      <c r="AN174" s="32">
        <f t="shared" si="187"/>
        <v>1.00000655178148</v>
      </c>
      <c r="AO174" s="32">
        <f t="shared" si="188"/>
        <v>-0.00361987450268314</v>
      </c>
      <c r="AP174" s="30" t="str">
        <f t="shared" si="189"/>
        <v>39,9532803610835-87,6672042571019i</v>
      </c>
      <c r="AQ174" s="32">
        <f t="shared" si="190"/>
        <v>39.676323612596</v>
      </c>
      <c r="AR174" s="31">
        <f t="shared" si="191"/>
        <v>-65.4994406349856</v>
      </c>
      <c r="AS174" t="str">
        <f t="shared" si="167"/>
        <v>-0,000100699300699301</v>
      </c>
      <c r="AT174" t="str">
        <f t="shared" si="168"/>
        <v>0,000512605121285714i</v>
      </c>
      <c r="AU174">
        <f t="shared" si="192"/>
        <v>0.000512605121285714</v>
      </c>
      <c r="AV174">
        <f t="shared" si="193"/>
        <v>1.5707963267949</v>
      </c>
      <c r="AW174" t="str">
        <f t="shared" si="169"/>
        <v>1+0,0262444419988867i</v>
      </c>
      <c r="AX174">
        <f t="shared" si="194"/>
        <v>1.00034432608769</v>
      </c>
      <c r="AY174">
        <f t="shared" si="195"/>
        <v>0.0262384190198861</v>
      </c>
      <c r="AZ174" t="str">
        <f t="shared" si="170"/>
        <v>1+1,25470768449997i</v>
      </c>
      <c r="BA174">
        <f t="shared" si="196"/>
        <v>1.60445983855729</v>
      </c>
      <c r="BB174">
        <f t="shared" si="197"/>
        <v>0.897888318477585</v>
      </c>
      <c r="BC174" s="30" t="str">
        <f t="shared" si="198"/>
        <v>-0,24116076550025+0,202775276118321i</v>
      </c>
      <c r="BD174" s="32">
        <f t="shared" si="199"/>
        <v>-10.0315429728357</v>
      </c>
      <c r="BE174" s="31">
        <f t="shared" si="200"/>
        <v>139.941860451929</v>
      </c>
      <c r="BF174" s="30" t="str">
        <f t="shared" si="201"/>
        <v>2,53230506378412+5,58270820841522i</v>
      </c>
      <c r="BG174" s="68">
        <f t="shared" si="202"/>
        <v>15.7494752901158</v>
      </c>
      <c r="BH174" s="31">
        <f t="shared" si="203"/>
        <v>65.6010528412806</v>
      </c>
      <c r="BI174" s="30" t="str">
        <f t="shared" si="156"/>
        <v>8,14157787363008+29,2434275449609i</v>
      </c>
      <c r="BJ174" s="68">
        <f t="shared" si="204"/>
        <v>29.6447806397603</v>
      </c>
      <c r="BK174" s="31">
        <f t="shared" si="157"/>
        <v>74.4424198169432</v>
      </c>
      <c r="BL174" s="32">
        <f t="shared" si="205"/>
        <v>15.7494752901158</v>
      </c>
      <c r="BM174" s="31">
        <f t="shared" si="206"/>
        <v>65.6010528412806</v>
      </c>
      <c r="BO174">
        <f t="shared" si="207"/>
        <v>0</v>
      </c>
      <c r="BP174">
        <f t="shared" si="208"/>
        <v>0</v>
      </c>
    </row>
    <row r="175" spans="14:68">
      <c r="N175" s="7">
        <v>57</v>
      </c>
      <c r="O175" s="18">
        <f t="shared" si="158"/>
        <v>371.535229097173</v>
      </c>
      <c r="P175" s="86" t="str">
        <f t="shared" si="159"/>
        <v>75</v>
      </c>
      <c r="Q175" s="4" t="str">
        <f t="shared" si="160"/>
        <v>1+3,8128936645195i</v>
      </c>
      <c r="R175" s="4">
        <f t="shared" si="171"/>
        <v>3.94184704129079</v>
      </c>
      <c r="S175" s="4">
        <f t="shared" si="172"/>
        <v>1.3143050519383</v>
      </c>
      <c r="T175" s="4" t="str">
        <f t="shared" si="161"/>
        <v>1+0,0366037791793872i</v>
      </c>
      <c r="U175" s="4">
        <f t="shared" si="173"/>
        <v>1.00066969408003</v>
      </c>
      <c r="V175" s="4">
        <f t="shared" si="174"/>
        <v>0.0365874446138073</v>
      </c>
      <c r="W175" t="str">
        <f t="shared" si="162"/>
        <v>1-0,0192006430963303i</v>
      </c>
      <c r="X175" s="4">
        <f t="shared" si="175"/>
        <v>1.00018431536158</v>
      </c>
      <c r="Y175" s="4">
        <f t="shared" si="176"/>
        <v>-0.0191982840850399</v>
      </c>
      <c r="Z175" t="str">
        <f t="shared" si="163"/>
        <v>0,999998873155702+0,00602519777282525i</v>
      </c>
      <c r="AA175" s="4">
        <f t="shared" si="177"/>
        <v>1.00001702451552</v>
      </c>
      <c r="AB175" s="4">
        <f t="shared" si="178"/>
        <v>0.00602513165269956</v>
      </c>
      <c r="AC175" s="67" t="str">
        <f t="shared" si="179"/>
        <v>5,0398716910264-18,3634975776628i</v>
      </c>
      <c r="AD175" s="68">
        <f t="shared" si="180"/>
        <v>25.5944977736294</v>
      </c>
      <c r="AE175" s="31">
        <f t="shared" si="181"/>
        <v>-74.6530215759233</v>
      </c>
      <c r="AF175" s="32" t="str">
        <f t="shared" si="182"/>
        <v>249,914648392112</v>
      </c>
      <c r="AG175" s="32" t="str">
        <f t="shared" si="164"/>
        <v>1+2,45114592719111i</v>
      </c>
      <c r="AH175" s="32">
        <f t="shared" si="183"/>
        <v>2.64728471388809</v>
      </c>
      <c r="AI175" s="32">
        <f t="shared" si="184"/>
        <v>1.18343610086851</v>
      </c>
      <c r="AJ175" s="32" t="str">
        <f t="shared" si="165"/>
        <v>1+0,0366037791793872i</v>
      </c>
      <c r="AK175" s="32">
        <f t="shared" si="185"/>
        <v>1.00066969408003</v>
      </c>
      <c r="AL175" s="32">
        <f t="shared" si="186"/>
        <v>0.0365874446138073</v>
      </c>
      <c r="AM175" s="32" t="str">
        <f t="shared" si="166"/>
        <v>1-0,00370420839089985i</v>
      </c>
      <c r="AN175" s="32">
        <f t="shared" si="187"/>
        <v>1.00000686055637</v>
      </c>
      <c r="AO175" s="32">
        <f t="shared" si="188"/>
        <v>-0.00370419144902757</v>
      </c>
      <c r="AP175" s="30" t="str">
        <f t="shared" si="189"/>
        <v>38,5413211528053-86,2483177064071i</v>
      </c>
      <c r="AQ175" s="32">
        <f t="shared" si="190"/>
        <v>39.5056957418335</v>
      </c>
      <c r="AR175" s="31">
        <f t="shared" si="191"/>
        <v>-65.9218222801822</v>
      </c>
      <c r="AS175" t="str">
        <f t="shared" si="167"/>
        <v>-0,000100699300699301</v>
      </c>
      <c r="AT175" t="str">
        <f t="shared" si="168"/>
        <v>0,000524545228418897i</v>
      </c>
      <c r="AU175">
        <f t="shared" si="192"/>
        <v>0.000524545228418897</v>
      </c>
      <c r="AV175">
        <f t="shared" si="193"/>
        <v>1.5707963267949</v>
      </c>
      <c r="AW175" t="str">
        <f t="shared" si="169"/>
        <v>1+0,0268557535837795i</v>
      </c>
      <c r="AX175">
        <f t="shared" si="194"/>
        <v>1.00036055075185</v>
      </c>
      <c r="AY175">
        <f t="shared" si="195"/>
        <v>0.0268492999711267</v>
      </c>
      <c r="AZ175" t="str">
        <f t="shared" si="170"/>
        <v>1+1,28393358090963i</v>
      </c>
      <c r="BA175">
        <f t="shared" si="196"/>
        <v>1.62741679977424</v>
      </c>
      <c r="BB175">
        <f t="shared" si="197"/>
        <v>0.909081389603956</v>
      </c>
      <c r="BC175" s="30" t="str">
        <f t="shared" si="198"/>
        <v>-0,241152942879301+0,198450830181224i</v>
      </c>
      <c r="BD175" s="32">
        <f t="shared" si="199"/>
        <v>-10.1082849647173</v>
      </c>
      <c r="BE175" s="31">
        <f t="shared" si="200"/>
        <v>140.548175286968</v>
      </c>
      <c r="BF175" s="30" t="str">
        <f t="shared" si="201"/>
        <v>2,42887144929298+5,42857820350134i</v>
      </c>
      <c r="BG175" s="68">
        <f t="shared" si="202"/>
        <v>15.4862128089121</v>
      </c>
      <c r="BH175" s="31">
        <f t="shared" si="203"/>
        <v>65.8951537110452</v>
      </c>
      <c r="BI175" s="30" t="str">
        <f t="shared" si="156"/>
        <v>7,8216972321152+28,4475928123444i</v>
      </c>
      <c r="BJ175" s="68">
        <f t="shared" si="204"/>
        <v>29.3974107771162</v>
      </c>
      <c r="BK175" s="31">
        <f t="shared" si="157"/>
        <v>74.6263530067863</v>
      </c>
      <c r="BL175" s="32">
        <f t="shared" si="205"/>
        <v>15.4862128089121</v>
      </c>
      <c r="BM175" s="31">
        <f t="shared" si="206"/>
        <v>65.8951537110452</v>
      </c>
      <c r="BO175">
        <f t="shared" si="207"/>
        <v>0</v>
      </c>
      <c r="BP175">
        <f t="shared" si="208"/>
        <v>0</v>
      </c>
    </row>
    <row r="176" spans="14:68">
      <c r="N176" s="7">
        <v>58</v>
      </c>
      <c r="O176" s="18">
        <f t="shared" si="158"/>
        <v>380.189396320562</v>
      </c>
      <c r="P176" s="86" t="str">
        <f t="shared" si="159"/>
        <v>75</v>
      </c>
      <c r="Q176" s="4" t="str">
        <f t="shared" si="160"/>
        <v>1+3,90170736721449i</v>
      </c>
      <c r="R176" s="4">
        <f t="shared" si="171"/>
        <v>4.02781831509017</v>
      </c>
      <c r="S176" s="4">
        <f t="shared" si="172"/>
        <v>1.31989892492331</v>
      </c>
      <c r="T176" s="4" t="str">
        <f t="shared" si="161"/>
        <v>1+0,0374563907252591i</v>
      </c>
      <c r="U176" s="4">
        <f t="shared" si="173"/>
        <v>1.000701244731</v>
      </c>
      <c r="V176" s="4">
        <f t="shared" si="174"/>
        <v>0.0374388885852565</v>
      </c>
      <c r="W176" t="str">
        <f t="shared" si="162"/>
        <v>1-0,0196478835277587i</v>
      </c>
      <c r="X176" s="4">
        <f t="shared" si="175"/>
        <v>1.00019300103886</v>
      </c>
      <c r="Y176" s="4">
        <f t="shared" si="176"/>
        <v>-0.0196453558279623</v>
      </c>
      <c r="Z176" t="str">
        <f t="shared" si="163"/>
        <v>0,999998820049167+0,00616554265803769i</v>
      </c>
      <c r="AA176" s="4">
        <f t="shared" si="177"/>
        <v>1.0000178268491</v>
      </c>
      <c r="AB176" s="4">
        <f t="shared" si="178"/>
        <v>0.00616547180911468</v>
      </c>
      <c r="AC176" s="67" t="str">
        <f t="shared" si="179"/>
        <v>4,83663432705607-17,9982824521648i</v>
      </c>
      <c r="AD176" s="68">
        <f t="shared" si="180"/>
        <v>25.4074380033696</v>
      </c>
      <c r="AE176" s="31">
        <f t="shared" si="181"/>
        <v>-74.9583989657085</v>
      </c>
      <c r="AF176" s="32" t="str">
        <f t="shared" si="182"/>
        <v>249,914648392112</v>
      </c>
      <c r="AG176" s="32" t="str">
        <f t="shared" si="164"/>
        <v>1+2,50824045035217i</v>
      </c>
      <c r="AH176" s="32">
        <f t="shared" si="183"/>
        <v>2.70023520397443</v>
      </c>
      <c r="AI176" s="32">
        <f t="shared" si="184"/>
        <v>1.19142334246272</v>
      </c>
      <c r="AJ176" s="32" t="str">
        <f t="shared" si="165"/>
        <v>1+0,0374563907252591i</v>
      </c>
      <c r="AK176" s="32">
        <f t="shared" si="185"/>
        <v>1.000701244731</v>
      </c>
      <c r="AL176" s="32">
        <f t="shared" si="186"/>
        <v>0.0374388885852565</v>
      </c>
      <c r="AM176" s="32" t="str">
        <f t="shared" si="166"/>
        <v>1-0,00379049048835539i</v>
      </c>
      <c r="AN176" s="32">
        <f t="shared" si="187"/>
        <v>1.00000718388327</v>
      </c>
      <c r="AO176" s="32">
        <f t="shared" si="188"/>
        <v>-0.00379047233481922</v>
      </c>
      <c r="AP176" s="30" t="str">
        <f t="shared" si="189"/>
        <v>37,1750683881607-84,8304086552833i</v>
      </c>
      <c r="AQ176" s="32">
        <f t="shared" si="190"/>
        <v>39.3339535459408</v>
      </c>
      <c r="AR176" s="31">
        <f t="shared" si="191"/>
        <v>-66.3356168980338</v>
      </c>
      <c r="AS176" t="str">
        <f t="shared" si="167"/>
        <v>-0,000100699300699301</v>
      </c>
      <c r="AT176" t="str">
        <f t="shared" si="168"/>
        <v>0,000536763456375365i</v>
      </c>
      <c r="AU176">
        <f t="shared" si="192"/>
        <v>0.000536763456375365</v>
      </c>
      <c r="AV176">
        <f t="shared" si="193"/>
        <v>1.5707963267949</v>
      </c>
      <c r="AW176" t="str">
        <f t="shared" si="169"/>
        <v>1+0,0274813044447003i</v>
      </c>
      <c r="AX176">
        <f t="shared" si="194"/>
        <v>1.00037753977885</v>
      </c>
      <c r="AY176">
        <f t="shared" si="195"/>
        <v>0.0274743894150971</v>
      </c>
      <c r="AZ176" t="str">
        <f t="shared" si="170"/>
        <v>1+1,31384023589876i</v>
      </c>
      <c r="BA176">
        <f t="shared" si="196"/>
        <v>1.65111361373665</v>
      </c>
      <c r="BB176">
        <f t="shared" si="197"/>
        <v>0.920211540550574</v>
      </c>
      <c r="BC176" s="30" t="str">
        <f t="shared" si="198"/>
        <v>-0,241144752133498+0,194231585709038i</v>
      </c>
      <c r="BD176" s="32">
        <f t="shared" si="199"/>
        <v>-10.1828692078335</v>
      </c>
      <c r="BE176" s="31">
        <f t="shared" si="200"/>
        <v>141.150070974596</v>
      </c>
      <c r="BF176" s="30" t="str">
        <f t="shared" si="201"/>
        <v>2,32950595476482+5,27961851559483i</v>
      </c>
      <c r="BG176" s="68">
        <f t="shared" si="202"/>
        <v>15.2245687955361</v>
      </c>
      <c r="BH176" s="31">
        <f t="shared" si="203"/>
        <v>66.1916720088871</v>
      </c>
      <c r="BI176" s="30" t="str">
        <f t="shared" si="156"/>
        <v>7,51217213745253+27,676980350436i</v>
      </c>
      <c r="BJ176" s="68">
        <f t="shared" si="204"/>
        <v>29.1510843381073</v>
      </c>
      <c r="BK176" s="31">
        <f t="shared" si="157"/>
        <v>74.8144540765618</v>
      </c>
      <c r="BL176" s="32">
        <f t="shared" si="205"/>
        <v>15.2245687955361</v>
      </c>
      <c r="BM176" s="31">
        <f t="shared" si="206"/>
        <v>66.1916720088871</v>
      </c>
      <c r="BO176">
        <f t="shared" si="207"/>
        <v>0</v>
      </c>
      <c r="BP176">
        <f t="shared" si="208"/>
        <v>0</v>
      </c>
    </row>
    <row r="177" spans="14:68">
      <c r="N177" s="7">
        <v>59</v>
      </c>
      <c r="O177" s="18">
        <f t="shared" si="158"/>
        <v>389.045144994281</v>
      </c>
      <c r="P177" s="86" t="str">
        <f t="shared" si="159"/>
        <v>75</v>
      </c>
      <c r="Q177" s="4" t="str">
        <f t="shared" si="160"/>
        <v>1+3,99258980680078i</v>
      </c>
      <c r="R177" s="4">
        <f t="shared" si="171"/>
        <v>4.11591707464685</v>
      </c>
      <c r="S177" s="4">
        <f t="shared" si="172"/>
        <v>1.3253810086374</v>
      </c>
      <c r="T177" s="4" t="str">
        <f t="shared" si="161"/>
        <v>1+0,0383288621452875i</v>
      </c>
      <c r="U177" s="4">
        <f t="shared" si="173"/>
        <v>1.0007342812522</v>
      </c>
      <c r="V177" s="4">
        <f t="shared" si="174"/>
        <v>0.0383101090075021</v>
      </c>
      <c r="W177" t="str">
        <f t="shared" si="162"/>
        <v>1-0,0201055415271039i</v>
      </c>
      <c r="X177" s="4">
        <f t="shared" si="175"/>
        <v>1.00020209597866</v>
      </c>
      <c r="Y177" s="4">
        <f t="shared" si="176"/>
        <v>-0.0201028330775304</v>
      </c>
      <c r="Z177" t="str">
        <f t="shared" si="163"/>
        <v>0,999998764439797+0,00630915659557802i</v>
      </c>
      <c r="AA177" s="4">
        <f t="shared" si="177"/>
        <v>1.00001866699481</v>
      </c>
      <c r="AB177" s="4">
        <f t="shared" si="178"/>
        <v>0.00630908067966571</v>
      </c>
      <c r="AC177" s="67" t="str">
        <f t="shared" si="179"/>
        <v>4,64143842849537-17,6381971395107i</v>
      </c>
      <c r="AD177" s="68">
        <f t="shared" si="180"/>
        <v>25.2198615565969</v>
      </c>
      <c r="AE177" s="31">
        <f t="shared" si="181"/>
        <v>-75.2570216700498</v>
      </c>
      <c r="AF177" s="32" t="str">
        <f t="shared" si="182"/>
        <v>249,914648392112</v>
      </c>
      <c r="AG177" s="32" t="str">
        <f t="shared" si="164"/>
        <v>1+2,5666648758005i</v>
      </c>
      <c r="AH177" s="32">
        <f t="shared" si="183"/>
        <v>2.75459045679535</v>
      </c>
      <c r="AI177" s="32">
        <f t="shared" si="184"/>
        <v>1.1992782356282</v>
      </c>
      <c r="AJ177" s="32" t="str">
        <f t="shared" si="165"/>
        <v>1+0,0383288621452875i</v>
      </c>
      <c r="AK177" s="32">
        <f t="shared" si="185"/>
        <v>1.0007342812522</v>
      </c>
      <c r="AL177" s="32">
        <f t="shared" si="186"/>
        <v>0.0383101090075021</v>
      </c>
      <c r="AM177" s="32" t="str">
        <f t="shared" si="166"/>
        <v>1-0,00387878235404092i</v>
      </c>
      <c r="AN177" s="32">
        <f t="shared" si="187"/>
        <v>1.00000752244798</v>
      </c>
      <c r="AO177" s="32">
        <f t="shared" si="188"/>
        <v>-0.00387876290218436</v>
      </c>
      <c r="AP177" s="30" t="str">
        <f t="shared" si="189"/>
        <v>35,853717136252-83,4148968623948i</v>
      </c>
      <c r="AQ177" s="32">
        <f t="shared" si="190"/>
        <v>39.1611343619105</v>
      </c>
      <c r="AR177" s="31">
        <f t="shared" si="191"/>
        <v>-66.7408105486026</v>
      </c>
      <c r="AS177" t="str">
        <f t="shared" si="167"/>
        <v>-0,000100699300699301</v>
      </c>
      <c r="AT177" t="str">
        <f t="shared" si="168"/>
        <v>0,000549266283421307i</v>
      </c>
      <c r="AU177">
        <f t="shared" si="192"/>
        <v>0.000549266283421307</v>
      </c>
      <c r="AV177">
        <f t="shared" si="193"/>
        <v>1.5707963267949</v>
      </c>
      <c r="AW177" t="str">
        <f t="shared" si="169"/>
        <v>1+0,0281214262569958i</v>
      </c>
      <c r="AX177">
        <f t="shared" si="194"/>
        <v>1.00039532916479</v>
      </c>
      <c r="AY177">
        <f t="shared" si="195"/>
        <v>0.0281140168274123</v>
      </c>
      <c r="AZ177" t="str">
        <f t="shared" si="170"/>
        <v>1+1,34444350637169i</v>
      </c>
      <c r="BA177">
        <f t="shared" si="196"/>
        <v>1.67556806541095</v>
      </c>
      <c r="BB177">
        <f t="shared" si="197"/>
        <v>0.931273642719585</v>
      </c>
      <c r="BC177" s="30" t="str">
        <f t="shared" si="198"/>
        <v>-0,241136175966063+0,190115304189146i</v>
      </c>
      <c r="BD177" s="32">
        <f t="shared" si="199"/>
        <v>-10.2553213385626</v>
      </c>
      <c r="BE177" s="31">
        <f t="shared" si="200"/>
        <v>141.747234790236</v>
      </c>
      <c r="BF177" s="30" t="str">
        <f t="shared" si="201"/>
        <v>2,2340725008969+5,13561588786575i</v>
      </c>
      <c r="BG177" s="68">
        <f t="shared" si="202"/>
        <v>14.9645402180343</v>
      </c>
      <c r="BH177" s="31">
        <f t="shared" si="203"/>
        <v>66.490213120186</v>
      </c>
      <c r="BI177" s="30" t="str">
        <f t="shared" si="156"/>
        <v>7,21282024649572+26,9306895876716i</v>
      </c>
      <c r="BJ177" s="68">
        <f t="shared" si="204"/>
        <v>28.9058130233479</v>
      </c>
      <c r="BK177" s="31">
        <f t="shared" si="157"/>
        <v>75.0064242416333</v>
      </c>
      <c r="BL177" s="32">
        <f t="shared" si="205"/>
        <v>14.9645402180343</v>
      </c>
      <c r="BM177" s="31">
        <f t="shared" si="206"/>
        <v>66.490213120186</v>
      </c>
      <c r="BO177">
        <f t="shared" si="207"/>
        <v>0</v>
      </c>
      <c r="BP177">
        <f t="shared" si="208"/>
        <v>0</v>
      </c>
    </row>
    <row r="178" spans="14:68">
      <c r="N178" s="7">
        <v>60</v>
      </c>
      <c r="O178" s="18">
        <f t="shared" si="158"/>
        <v>398.107170553498</v>
      </c>
      <c r="P178" s="86" t="str">
        <f t="shared" si="159"/>
        <v>75</v>
      </c>
      <c r="Q178" s="4" t="str">
        <f t="shared" si="160"/>
        <v>1+4,08558917035081i</v>
      </c>
      <c r="R178" s="4">
        <f t="shared" si="171"/>
        <v>4.20619054120089</v>
      </c>
      <c r="S178" s="4">
        <f t="shared" si="172"/>
        <v>1.33075289115981</v>
      </c>
      <c r="T178" s="4" t="str">
        <f t="shared" si="161"/>
        <v>1+0,0392216560353678i</v>
      </c>
      <c r="U178" s="4">
        <f t="shared" si="173"/>
        <v>1.0007688735678</v>
      </c>
      <c r="V178" s="4">
        <f t="shared" si="174"/>
        <v>0.0392015625199</v>
      </c>
      <c r="W178" t="str">
        <f t="shared" si="162"/>
        <v>1-0,0205738597506952i</v>
      </c>
      <c r="X178" s="4">
        <f t="shared" si="175"/>
        <v>1.00021161946112</v>
      </c>
      <c r="Y178" s="4">
        <f t="shared" si="176"/>
        <v>-0.0205709576278516</v>
      </c>
      <c r="Z178" t="str">
        <f t="shared" si="163"/>
        <v>0,999998706209639+0,0064561157314569i</v>
      </c>
      <c r="AA178" s="4">
        <f t="shared" si="177"/>
        <v>1.00001954673461</v>
      </c>
      <c r="AB178" s="4">
        <f t="shared" si="178"/>
        <v>0.00645603438617705</v>
      </c>
      <c r="AC178" s="67" t="str">
        <f t="shared" si="179"/>
        <v>4,45401086615966-17,2833107848933i</v>
      </c>
      <c r="AD178" s="68">
        <f t="shared" si="180"/>
        <v>25.0317903340956</v>
      </c>
      <c r="AE178" s="31">
        <f t="shared" si="181"/>
        <v>-75.5489727309186</v>
      </c>
      <c r="AF178" s="32" t="str">
        <f t="shared" si="182"/>
        <v>249,914648392112</v>
      </c>
      <c r="AG178" s="32" t="str">
        <f t="shared" si="164"/>
        <v>1+2,62645018093981i</v>
      </c>
      <c r="AH178" s="32">
        <f t="shared" si="183"/>
        <v>2.81038085549962</v>
      </c>
      <c r="AI178" s="32">
        <f t="shared" si="184"/>
        <v>1.20700106696844</v>
      </c>
      <c r="AJ178" s="32" t="str">
        <f t="shared" si="165"/>
        <v>1+0,0392216560353678i</v>
      </c>
      <c r="AK178" s="32">
        <f t="shared" si="185"/>
        <v>1.0007688735678</v>
      </c>
      <c r="AL178" s="32">
        <f t="shared" si="186"/>
        <v>0.0392015625199</v>
      </c>
      <c r="AM178" s="32" t="str">
        <f t="shared" si="166"/>
        <v>1-0,00396913080147233i</v>
      </c>
      <c r="AN178" s="32">
        <f t="shared" si="187"/>
        <v>1.00000787696864</v>
      </c>
      <c r="AO178" s="32">
        <f t="shared" si="188"/>
        <v>-0.00396910995844136</v>
      </c>
      <c r="AP178" s="30" t="str">
        <f t="shared" si="189"/>
        <v>34,5764224252503-82,0031284862869i</v>
      </c>
      <c r="AQ178" s="32">
        <f t="shared" si="190"/>
        <v>38.9872748845848</v>
      </c>
      <c r="AR178" s="31">
        <f t="shared" si="191"/>
        <v>-67.1373961714122</v>
      </c>
      <c r="AS178" t="str">
        <f t="shared" si="167"/>
        <v>-0,000100699300699301</v>
      </c>
      <c r="AT178" t="str">
        <f t="shared" si="168"/>
        <v>0,000562060338721118i</v>
      </c>
      <c r="AU178">
        <f t="shared" si="192"/>
        <v>0.000562060338721118</v>
      </c>
      <c r="AV178">
        <f t="shared" si="193"/>
        <v>1.5707963267949</v>
      </c>
      <c r="AW178" t="str">
        <f t="shared" si="169"/>
        <v>1+0,0287764584217238i</v>
      </c>
      <c r="AX178">
        <f t="shared" si="194"/>
        <v>1.00041395659962</v>
      </c>
      <c r="AY178">
        <f t="shared" si="195"/>
        <v>0.0287685192523027</v>
      </c>
      <c r="AZ178" t="str">
        <f t="shared" si="170"/>
        <v>1+1,37575961858752i</v>
      </c>
      <c r="BA178">
        <f t="shared" si="196"/>
        <v>1.70079820323755</v>
      </c>
      <c r="BB178">
        <f t="shared" si="197"/>
        <v>0.942262732425172</v>
      </c>
      <c r="BC178" s="30" t="str">
        <f t="shared" si="198"/>
        <v>-0,241127196270099+0,186099801600429i</v>
      </c>
      <c r="BD178" s="32">
        <f t="shared" si="199"/>
        <v>-10.3256687926632</v>
      </c>
      <c r="BE178" s="31">
        <f t="shared" si="200"/>
        <v>142.339363024429</v>
      </c>
      <c r="BF178" s="30" t="str">
        <f t="shared" si="201"/>
        <v>2,14243755575356+4,99636681034455i</v>
      </c>
      <c r="BG178" s="68">
        <f t="shared" si="202"/>
        <v>14.7061215414324</v>
      </c>
      <c r="BH178" s="31">
        <f t="shared" si="203"/>
        <v>66.7903902935108</v>
      </c>
      <c r="BI178" s="30" t="str">
        <f t="shared" ref="BI178:BI241" si="209">IMPRODUCT(AP178,BC178)</f>
        <v>6,9234501454613+26,2078498106668i</v>
      </c>
      <c r="BJ178" s="68">
        <f t="shared" si="204"/>
        <v>28.6616060919216</v>
      </c>
      <c r="BK178" s="31">
        <f t="shared" ref="BK178:BK241" si="210">(180/PI())*IMARGUMENT(BI178)</f>
        <v>75.2019668530172</v>
      </c>
      <c r="BL178" s="32">
        <f t="shared" si="205"/>
        <v>14.7061215414324</v>
      </c>
      <c r="BM178" s="31">
        <f t="shared" si="206"/>
        <v>66.7903902935108</v>
      </c>
      <c r="BO178">
        <f t="shared" si="207"/>
        <v>0</v>
      </c>
      <c r="BP178">
        <f t="shared" si="208"/>
        <v>0</v>
      </c>
    </row>
    <row r="179" spans="14:68">
      <c r="N179" s="7">
        <v>61</v>
      </c>
      <c r="O179" s="18">
        <f t="shared" si="158"/>
        <v>407.380277804113</v>
      </c>
      <c r="P179" s="86" t="str">
        <f t="shared" si="159"/>
        <v>75</v>
      </c>
      <c r="Q179" s="4" t="str">
        <f t="shared" si="160"/>
        <v>1+4,18075476735811i</v>
      </c>
      <c r="R179" s="4">
        <f t="shared" si="171"/>
        <v>4.2986870582525</v>
      </c>
      <c r="S179" s="4">
        <f t="shared" si="172"/>
        <v>1.33601618006384</v>
      </c>
      <c r="T179" s="4" t="str">
        <f t="shared" si="161"/>
        <v>1+0,0401352457666379i</v>
      </c>
      <c r="U179" s="4">
        <f t="shared" si="173"/>
        <v>1.00080509488749</v>
      </c>
      <c r="V179" s="4">
        <f t="shared" si="174"/>
        <v>0.0401137161122397</v>
      </c>
      <c r="W179" t="str">
        <f t="shared" si="162"/>
        <v>1-0,0210530865070534i</v>
      </c>
      <c r="X179" s="4">
        <f t="shared" si="175"/>
        <v>1.0002215916743</v>
      </c>
      <c r="Y179" s="4">
        <f t="shared" si="176"/>
        <v>-0.0210499768636073</v>
      </c>
      <c r="Z179" t="str">
        <f t="shared" si="163"/>
        <v>0,999998645235178+0,00660649798535336i</v>
      </c>
      <c r="AA179" s="4">
        <f t="shared" si="177"/>
        <v>1.00002046793444</v>
      </c>
      <c r="AB179" s="4">
        <f t="shared" si="178"/>
        <v>0.00660641082241186</v>
      </c>
      <c r="AC179" s="67" t="str">
        <f t="shared" si="179"/>
        <v>4,27408399685256-16,933681345852i</v>
      </c>
      <c r="AD179" s="68">
        <f t="shared" si="180"/>
        <v>24.8432455489068</v>
      </c>
      <c r="AE179" s="31">
        <f t="shared" si="181"/>
        <v>-75.8343361360172</v>
      </c>
      <c r="AF179" s="32" t="str">
        <f t="shared" si="182"/>
        <v>249,914648392112</v>
      </c>
      <c r="AG179" s="32" t="str">
        <f t="shared" si="164"/>
        <v>1+2,68762806473022i</v>
      </c>
      <c r="AH179" s="32">
        <f t="shared" si="183"/>
        <v>2.8676374621499</v>
      </c>
      <c r="AI179" s="32">
        <f t="shared" si="184"/>
        <v>1.21459224536489</v>
      </c>
      <c r="AJ179" s="32" t="str">
        <f t="shared" si="165"/>
        <v>1+0,0401352457666379i</v>
      </c>
      <c r="AK179" s="32">
        <f t="shared" si="185"/>
        <v>1.00080509488749</v>
      </c>
      <c r="AL179" s="32">
        <f t="shared" si="186"/>
        <v>0.0401137161122397</v>
      </c>
      <c r="AM179" s="32" t="str">
        <f t="shared" si="166"/>
        <v>1-0,00406158373459232i</v>
      </c>
      <c r="AN179" s="32">
        <f t="shared" si="187"/>
        <v>1.0000082481972</v>
      </c>
      <c r="AO179" s="32">
        <f t="shared" si="188"/>
        <v>-0.00406156140089221</v>
      </c>
      <c r="AP179" s="30" t="str">
        <f t="shared" si="189"/>
        <v>33,3423043862234-80,596376448237i</v>
      </c>
      <c r="AQ179" s="32">
        <f t="shared" si="190"/>
        <v>38.8124111375521</v>
      </c>
      <c r="AR179" s="31">
        <f t="shared" si="191"/>
        <v>-67.5253731814135</v>
      </c>
      <c r="AS179" t="str">
        <f t="shared" si="167"/>
        <v>-0,000100699300699301</v>
      </c>
      <c r="AT179" t="str">
        <f t="shared" si="168"/>
        <v>0,000575152405852267i</v>
      </c>
      <c r="AU179">
        <f t="shared" si="192"/>
        <v>0.000575152405852267</v>
      </c>
      <c r="AV179">
        <f t="shared" si="193"/>
        <v>1.5707963267949</v>
      </c>
      <c r="AW179" t="str">
        <f t="shared" si="169"/>
        <v>1+0,0294467482456084i</v>
      </c>
      <c r="AX179">
        <f t="shared" si="194"/>
        <v>1.00043346154666</v>
      </c>
      <c r="AY179">
        <f t="shared" si="195"/>
        <v>0.0294382414713621</v>
      </c>
      <c r="AZ179" t="str">
        <f t="shared" si="170"/>
        <v>1+1,40780517676345i</v>
      </c>
      <c r="BA179">
        <f t="shared" si="196"/>
        <v>1.72682234631185</v>
      </c>
      <c r="BB179">
        <f t="shared" si="197"/>
        <v>0.953174020192787</v>
      </c>
      <c r="BC179" s="30" t="str">
        <f t="shared" si="198"/>
        <v>-0,241117794090887+0,182182947248096i</v>
      </c>
      <c r="BD179" s="32">
        <f t="shared" si="199"/>
        <v>-10.3939407043282</v>
      </c>
      <c r="BE179" s="31">
        <f t="shared" si="200"/>
        <v>142.926161505968</v>
      </c>
      <c r="BF179" s="30" t="str">
        <f t="shared" si="201"/>
        <v>2,05447027026717+4,86167711128236i</v>
      </c>
      <c r="BG179" s="68">
        <f t="shared" si="202"/>
        <v>14.4493048445786</v>
      </c>
      <c r="BH179" s="31">
        <f t="shared" si="203"/>
        <v>67.091825369951</v>
      </c>
      <c r="BI179" s="30" t="str">
        <f t="shared" si="209"/>
        <v>6,64386251534376+25,5076197820429i</v>
      </c>
      <c r="BJ179" s="68">
        <f t="shared" si="204"/>
        <v>28.4184704332239</v>
      </c>
      <c r="BK179" s="31">
        <f t="shared" si="210"/>
        <v>75.4007883245547</v>
      </c>
      <c r="BL179" s="32">
        <f t="shared" si="205"/>
        <v>14.4493048445786</v>
      </c>
      <c r="BM179" s="31">
        <f t="shared" si="206"/>
        <v>67.091825369951</v>
      </c>
      <c r="BO179">
        <f t="shared" si="207"/>
        <v>0</v>
      </c>
      <c r="BP179">
        <f t="shared" si="208"/>
        <v>0</v>
      </c>
    </row>
    <row r="180" spans="14:68">
      <c r="N180" s="7">
        <v>62</v>
      </c>
      <c r="O180" s="18">
        <f t="shared" si="158"/>
        <v>416.869383470336</v>
      </c>
      <c r="P180" s="86" t="str">
        <f t="shared" si="159"/>
        <v>75</v>
      </c>
      <c r="Q180" s="4" t="str">
        <f t="shared" si="160"/>
        <v>1+4,27813705588192i</v>
      </c>
      <c r="R180" s="4">
        <f t="shared" si="171"/>
        <v>4.39345611892392</v>
      </c>
      <c r="S180" s="4">
        <f t="shared" si="172"/>
        <v>1.3411724990686</v>
      </c>
      <c r="T180" s="4" t="str">
        <f t="shared" si="161"/>
        <v>1+0,0410701157364665i</v>
      </c>
      <c r="U180" s="4">
        <f t="shared" si="173"/>
        <v>1.00084302186037</v>
      </c>
      <c r="V180" s="4">
        <f t="shared" si="174"/>
        <v>0.0410470473454965</v>
      </c>
      <c r="W180" t="str">
        <f t="shared" si="162"/>
        <v>1-0,0215434758885483i</v>
      </c>
      <c r="X180" s="4">
        <f t="shared" si="175"/>
        <v>1.00023203375685</v>
      </c>
      <c r="Y180" s="4">
        <f t="shared" si="176"/>
        <v>-0.021540143887309</v>
      </c>
      <c r="Z180" t="str">
        <f t="shared" si="163"/>
        <v>0,999998581387079+0,00676038309192903i</v>
      </c>
      <c r="AA180" s="4">
        <f t="shared" si="177"/>
        <v>1.00002143254818</v>
      </c>
      <c r="AB180" s="4">
        <f t="shared" si="178"/>
        <v>0.0067602896952625</v>
      </c>
      <c r="AC180" s="67" t="str">
        <f t="shared" si="179"/>
        <v>4,10139589773534-16,5893562286715i</v>
      </c>
      <c r="AD180" s="68">
        <f t="shared" si="180"/>
        <v>24.6542477429814</v>
      </c>
      <c r="AE180" s="31">
        <f t="shared" si="181"/>
        <v>-76.1131966239453</v>
      </c>
      <c r="AF180" s="32" t="str">
        <f t="shared" si="182"/>
        <v>249,914648392112</v>
      </c>
      <c r="AG180" s="32" t="str">
        <f t="shared" si="164"/>
        <v>1+2,75023096449552i</v>
      </c>
      <c r="AH180" s="32">
        <f t="shared" si="183"/>
        <v>2.92639203765831</v>
      </c>
      <c r="AI180" s="32">
        <f t="shared" si="184"/>
        <v>1.22205229516593</v>
      </c>
      <c r="AJ180" s="32" t="str">
        <f t="shared" si="165"/>
        <v>1+0,0410701157364665i</v>
      </c>
      <c r="AK180" s="32">
        <f t="shared" si="185"/>
        <v>1.00084302186037</v>
      </c>
      <c r="AL180" s="32">
        <f t="shared" si="186"/>
        <v>0.0410470473454965</v>
      </c>
      <c r="AM180" s="32" t="str">
        <f t="shared" si="166"/>
        <v>1-0,00415619017316982i</v>
      </c>
      <c r="AN180" s="32">
        <f t="shared" si="187"/>
        <v>1.00000863692108</v>
      </c>
      <c r="AO180" s="32">
        <f t="shared" si="188"/>
        <v>-0.00415616624219016</v>
      </c>
      <c r="AP180" s="30" t="str">
        <f t="shared" si="189"/>
        <v>32,1504531695032-79,1958411014071i</v>
      </c>
      <c r="AQ180" s="32">
        <f t="shared" si="190"/>
        <v>38.6365784481834</v>
      </c>
      <c r="AR180" s="31">
        <f t="shared" si="191"/>
        <v>-67.9047470675449</v>
      </c>
      <c r="AS180" t="str">
        <f t="shared" si="167"/>
        <v>-0,000100699300699301</v>
      </c>
      <c r="AT180" t="str">
        <f t="shared" si="168"/>
        <v>0,000588549426402041i</v>
      </c>
      <c r="AU180">
        <f t="shared" si="192"/>
        <v>0.000588549426402041</v>
      </c>
      <c r="AV180">
        <f t="shared" si="193"/>
        <v>1.5707963267949</v>
      </c>
      <c r="AW180" t="str">
        <f t="shared" si="169"/>
        <v>1+0,0301326511251867i</v>
      </c>
      <c r="AX180">
        <f t="shared" si="194"/>
        <v>1.00045388532597</v>
      </c>
      <c r="AY180">
        <f t="shared" si="195"/>
        <v>0.0301235361756882</v>
      </c>
      <c r="AZ180" t="str">
        <f t="shared" si="170"/>
        <v>1+1,4405971718786i</v>
      </c>
      <c r="BA180">
        <f t="shared" si="196"/>
        <v>1.75365909219113</v>
      </c>
      <c r="BB180">
        <f t="shared" si="197"/>
        <v>0.964002899097367</v>
      </c>
      <c r="BC180" s="30" t="str">
        <f t="shared" si="198"/>
        <v>-0,241107949586467+0,178362662626272i</v>
      </c>
      <c r="BD180" s="32">
        <f t="shared" si="199"/>
        <v>-10.4601678011793</v>
      </c>
      <c r="BE180" s="31">
        <f t="shared" si="200"/>
        <v>143.507346069778</v>
      </c>
      <c r="BF180" s="30" t="str">
        <f t="shared" si="201"/>
        <v>1,97004259285626+4,73136155805902i</v>
      </c>
      <c r="BG180" s="68">
        <f t="shared" si="202"/>
        <v>14.1940799418021</v>
      </c>
      <c r="BH180" s="31">
        <f t="shared" si="203"/>
        <v>67.3941494458332</v>
      </c>
      <c r="BI180" s="30" t="str">
        <f t="shared" si="209"/>
        <v>6,37385124579947+24,8291872956898i</v>
      </c>
      <c r="BJ180" s="68">
        <f t="shared" si="204"/>
        <v>28.176410647004</v>
      </c>
      <c r="BK180" s="31">
        <f t="shared" si="210"/>
        <v>75.6025990022335</v>
      </c>
      <c r="BL180" s="32">
        <f t="shared" si="205"/>
        <v>14.1940799418021</v>
      </c>
      <c r="BM180" s="31">
        <f t="shared" si="206"/>
        <v>67.3941494458332</v>
      </c>
      <c r="BO180">
        <f t="shared" si="207"/>
        <v>0</v>
      </c>
      <c r="BP180">
        <f t="shared" si="208"/>
        <v>0</v>
      </c>
    </row>
    <row r="181" spans="14:68">
      <c r="N181" s="7">
        <v>63</v>
      </c>
      <c r="O181" s="18">
        <f t="shared" si="158"/>
        <v>426.579518801593</v>
      </c>
      <c r="P181" s="86" t="str">
        <f t="shared" si="159"/>
        <v>75</v>
      </c>
      <c r="Q181" s="4" t="str">
        <f t="shared" si="160"/>
        <v>1+4,37778766930058i</v>
      </c>
      <c r="R181" s="4">
        <f t="shared" si="171"/>
        <v>4.49054839384681</v>
      </c>
      <c r="S181" s="4">
        <f t="shared" si="172"/>
        <v>1.34622348488429</v>
      </c>
      <c r="T181" s="4" t="str">
        <f t="shared" si="161"/>
        <v>1+0,0420267616252857i</v>
      </c>
      <c r="U181" s="4">
        <f t="shared" si="173"/>
        <v>1.00088273473605</v>
      </c>
      <c r="V181" s="4">
        <f t="shared" si="174"/>
        <v>0.0420020445762832</v>
      </c>
      <c r="W181" t="str">
        <f t="shared" si="162"/>
        <v>1-0,0220452879061208i</v>
      </c>
      <c r="X181" s="4">
        <f t="shared" si="175"/>
        <v>1.00024296784275</v>
      </c>
      <c r="Y181" s="4">
        <f t="shared" si="176"/>
        <v>-0.0220417176493058</v>
      </c>
      <c r="Z181" t="str">
        <f t="shared" si="163"/>
        <v>0,999998514529911+0,00691785264310427i</v>
      </c>
      <c r="AA181" s="4">
        <f t="shared" si="177"/>
        <v>1.00002244262177</v>
      </c>
      <c r="AB181" s="4">
        <f t="shared" si="178"/>
        <v>0.0069177525668942</v>
      </c>
      <c r="AC181" s="67" t="str">
        <f t="shared" si="179"/>
        <v>3,93569056100784-16,2503729078953i</v>
      </c>
      <c r="AD181" s="68">
        <f t="shared" si="180"/>
        <v>24.4648168044842</v>
      </c>
      <c r="AE181" s="31">
        <f t="shared" si="181"/>
        <v>-76.3856395004454</v>
      </c>
      <c r="AF181" s="32" t="str">
        <f t="shared" si="182"/>
        <v>249,914648392112</v>
      </c>
      <c r="AG181" s="32" t="str">
        <f t="shared" si="164"/>
        <v>1+2,8142920731218i</v>
      </c>
      <c r="AH181" s="32">
        <f t="shared" si="183"/>
        <v>2.98667706202666</v>
      </c>
      <c r="AI181" s="32">
        <f t="shared" si="184"/>
        <v>1.22938184945135</v>
      </c>
      <c r="AJ181" s="32" t="str">
        <f t="shared" si="165"/>
        <v>1+0,0420267616252857i</v>
      </c>
      <c r="AK181" s="32">
        <f t="shared" si="185"/>
        <v>1.00088273473605</v>
      </c>
      <c r="AL181" s="32">
        <f t="shared" si="186"/>
        <v>0.0420020445762832</v>
      </c>
      <c r="AM181" s="32" t="str">
        <f t="shared" si="166"/>
        <v>1-0,00425300027879081i</v>
      </c>
      <c r="AN181" s="32">
        <f t="shared" si="187"/>
        <v>1.00000904396479</v>
      </c>
      <c r="AO181" s="32">
        <f t="shared" si="188"/>
        <v>-0.00425297463629663</v>
      </c>
      <c r="AP181" s="30" t="str">
        <f t="shared" si="189"/>
        <v>30,9999336224262-77,8026511755393i</v>
      </c>
      <c r="AQ181" s="32">
        <f t="shared" si="190"/>
        <v>38.4598114266217</v>
      </c>
      <c r="AR181" s="31">
        <f t="shared" si="191"/>
        <v>-68.2755289954444</v>
      </c>
      <c r="AS181" t="str">
        <f t="shared" si="167"/>
        <v>-0,000100699300699301</v>
      </c>
      <c r="AT181" t="str">
        <f t="shared" si="168"/>
        <v>0,000602258503648066i</v>
      </c>
      <c r="AU181">
        <f t="shared" si="192"/>
        <v>0.000602258503648066</v>
      </c>
      <c r="AV181">
        <f t="shared" si="193"/>
        <v>1.5707963267949</v>
      </c>
      <c r="AW181" t="str">
        <f t="shared" si="169"/>
        <v>1+0,0308345307352443i</v>
      </c>
      <c r="AX181">
        <f t="shared" si="194"/>
        <v>1.00047527120147</v>
      </c>
      <c r="AY181">
        <f t="shared" si="195"/>
        <v>0.0308247641414577</v>
      </c>
      <c r="AZ181" t="str">
        <f t="shared" si="170"/>
        <v>1+1,47415299068285i</v>
      </c>
      <c r="BA181">
        <f t="shared" si="196"/>
        <v>1.7813273253221</v>
      </c>
      <c r="BB181">
        <f t="shared" si="197"/>
        <v>0.974744952120652</v>
      </c>
      <c r="BC181" s="30" t="str">
        <f t="shared" si="198"/>
        <v>-0,241097641986408+0,174636920307714i</v>
      </c>
      <c r="BD181" s="32">
        <f t="shared" si="199"/>
        <v>-10.5243822959807</v>
      </c>
      <c r="BE181" s="31">
        <f t="shared" si="200"/>
        <v>144.082642968403</v>
      </c>
      <c r="BF181" s="30" t="str">
        <f t="shared" si="201"/>
        <v>1,88902936463959+4,60524346835191i</v>
      </c>
      <c r="BG181" s="68">
        <f t="shared" si="202"/>
        <v>13.9404345085035</v>
      </c>
      <c r="BH181" s="31">
        <f t="shared" si="203"/>
        <v>67.6970034679578</v>
      </c>
      <c r="BI181" s="30" t="str">
        <f t="shared" si="209"/>
        <v>6,1132044949694+24,1717686762776i</v>
      </c>
      <c r="BJ181" s="68">
        <f t="shared" si="204"/>
        <v>27.9354291306409</v>
      </c>
      <c r="BK181" s="31">
        <f t="shared" si="210"/>
        <v>75.8071139729588</v>
      </c>
      <c r="BL181" s="32">
        <f t="shared" si="205"/>
        <v>13.9404345085035</v>
      </c>
      <c r="BM181" s="31">
        <f t="shared" si="206"/>
        <v>67.6970034679578</v>
      </c>
      <c r="BO181">
        <f t="shared" si="207"/>
        <v>0</v>
      </c>
      <c r="BP181">
        <f t="shared" si="208"/>
        <v>0</v>
      </c>
    </row>
    <row r="182" spans="14:68">
      <c r="N182" s="7">
        <v>64</v>
      </c>
      <c r="O182" s="18">
        <f t="shared" si="158"/>
        <v>436.515832240166</v>
      </c>
      <c r="P182" s="86" t="str">
        <f t="shared" si="159"/>
        <v>75</v>
      </c>
      <c r="Q182" s="4" t="str">
        <f t="shared" si="160"/>
        <v>1+4,47975944368837i</v>
      </c>
      <c r="R182" s="4">
        <f t="shared" si="171"/>
        <v>4.59001575959333</v>
      </c>
      <c r="S182" s="4">
        <f t="shared" si="172"/>
        <v>1.3511707842453</v>
      </c>
      <c r="T182" s="4" t="str">
        <f t="shared" si="161"/>
        <v>1+0,0430056906594084i</v>
      </c>
      <c r="U182" s="4">
        <f t="shared" si="173"/>
        <v>1.0009243175331</v>
      </c>
      <c r="V182" s="4">
        <f t="shared" si="174"/>
        <v>0.0429792071849909</v>
      </c>
      <c r="W182" t="str">
        <f t="shared" si="162"/>
        <v>1-0,022558788627145i</v>
      </c>
      <c r="X182" s="4">
        <f t="shared" si="175"/>
        <v>1.00025441710813</v>
      </c>
      <c r="Y182" s="4">
        <f t="shared" si="176"/>
        <v>-0.0225549630805945</v>
      </c>
      <c r="Z182" t="str">
        <f t="shared" si="163"/>
        <v>0,999998444521863+0,00707899013131948i</v>
      </c>
      <c r="AA182" s="4">
        <f t="shared" si="177"/>
        <v>1.00002350029758</v>
      </c>
      <c r="AB182" s="4">
        <f t="shared" si="178"/>
        <v>0.00707888289786434</v>
      </c>
      <c r="AC182" s="67" t="str">
        <f t="shared" si="179"/>
        <v>3,77671805184052-15,9167595276759i</v>
      </c>
      <c r="AD182" s="68">
        <f t="shared" si="180"/>
        <v>24.2749719856473</v>
      </c>
      <c r="AE182" s="31">
        <f t="shared" si="181"/>
        <v>-76.6517504654253</v>
      </c>
      <c r="AF182" s="32" t="str">
        <f t="shared" si="182"/>
        <v>249,914648392112</v>
      </c>
      <c r="AG182" s="32" t="str">
        <f t="shared" si="164"/>
        <v>1+2,87984535665681i</v>
      </c>
      <c r="AH182" s="32">
        <f t="shared" si="183"/>
        <v>3.04852575489494</v>
      </c>
      <c r="AI182" s="32">
        <f t="shared" si="184"/>
        <v>1.23658164339682</v>
      </c>
      <c r="AJ182" s="32" t="str">
        <f t="shared" si="165"/>
        <v>1+0,0430056906594084i</v>
      </c>
      <c r="AK182" s="32">
        <f t="shared" si="185"/>
        <v>1.0009243175331</v>
      </c>
      <c r="AL182" s="32">
        <f t="shared" si="186"/>
        <v>0.0429792071849909</v>
      </c>
      <c r="AM182" s="32" t="str">
        <f t="shared" si="166"/>
        <v>1-0,00435206538145472i</v>
      </c>
      <c r="AN182" s="32">
        <f t="shared" si="187"/>
        <v>1.0000094701917</v>
      </c>
      <c r="AO182" s="32">
        <f t="shared" si="188"/>
        <v>-0.00435203790504123</v>
      </c>
      <c r="AP182" s="30" t="str">
        <f t="shared" si="189"/>
        <v>29,8897897203582-76,4178649672017i</v>
      </c>
      <c r="AQ182" s="32">
        <f t="shared" si="190"/>
        <v>38.2821439485308</v>
      </c>
      <c r="AR182" s="31">
        <f t="shared" si="191"/>
        <v>-68.6377354157107</v>
      </c>
      <c r="AS182" t="str">
        <f t="shared" si="167"/>
        <v>-0,000100699300699301</v>
      </c>
      <c r="AT182" t="str">
        <f t="shared" si="168"/>
        <v>0,000616286906324558i</v>
      </c>
      <c r="AU182">
        <f t="shared" si="192"/>
        <v>0.000616286906324558</v>
      </c>
      <c r="AV182">
        <f t="shared" si="193"/>
        <v>1.5707963267949</v>
      </c>
      <c r="AW182" t="str">
        <f t="shared" si="169"/>
        <v>1+0,031552759221641i</v>
      </c>
      <c r="AX182">
        <f t="shared" si="194"/>
        <v>1.00049766447229</v>
      </c>
      <c r="AY182">
        <f t="shared" si="195"/>
        <v>0.0315422944089758</v>
      </c>
      <c r="AZ182" t="str">
        <f t="shared" si="170"/>
        <v>1+1,50849042491547i</v>
      </c>
      <c r="BA182">
        <f t="shared" si="196"/>
        <v>1.80984622608156</v>
      </c>
      <c r="BB182">
        <f t="shared" si="197"/>
        <v>0.98539595851688</v>
      </c>
      <c r="BC182" s="30" t="str">
        <f t="shared" si="198"/>
        <v>-0,241086849548682+0,171003742860025i</v>
      </c>
      <c r="BD182" s="32">
        <f t="shared" si="199"/>
        <v>-10.5866177758454</v>
      </c>
      <c r="BE182" s="31">
        <f t="shared" si="200"/>
        <v>144.651789226472</v>
      </c>
      <c r="BF182" s="30" t="str">
        <f t="shared" si="201"/>
        <v>1,81130839668368+4,4831543321431i</v>
      </c>
      <c r="BG182" s="68">
        <f t="shared" si="202"/>
        <v>13.688354209802</v>
      </c>
      <c r="BH182" s="31">
        <f t="shared" si="203"/>
        <v>68.0000387610468</v>
      </c>
      <c r="BI182" s="30" t="str">
        <f t="shared" si="209"/>
        <v>5,86170569340973+23,5346082296596i</v>
      </c>
      <c r="BJ182" s="68">
        <f t="shared" si="204"/>
        <v>27.6955261726855</v>
      </c>
      <c r="BK182" s="31">
        <f t="shared" si="210"/>
        <v>76.0140538107614</v>
      </c>
      <c r="BL182" s="32">
        <f t="shared" si="205"/>
        <v>13.688354209802</v>
      </c>
      <c r="BM182" s="31">
        <f t="shared" si="206"/>
        <v>68.0000387610468</v>
      </c>
      <c r="BO182">
        <f t="shared" si="207"/>
        <v>0</v>
      </c>
      <c r="BP182">
        <f t="shared" si="208"/>
        <v>0</v>
      </c>
    </row>
    <row r="183" spans="14:68">
      <c r="N183" s="7">
        <v>65</v>
      </c>
      <c r="O183" s="18">
        <f t="shared" si="158"/>
        <v>446.683592150963</v>
      </c>
      <c r="P183" s="86" t="str">
        <f t="shared" si="159"/>
        <v>75</v>
      </c>
      <c r="Q183" s="4" t="str">
        <f t="shared" si="160"/>
        <v>1+4,58410644582984i</v>
      </c>
      <c r="R183" s="4">
        <f t="shared" si="171"/>
        <v>4.69191132766793</v>
      </c>
      <c r="S183" s="4">
        <f t="shared" si="172"/>
        <v>1.35601605112562</v>
      </c>
      <c r="T183" s="4" t="str">
        <f t="shared" si="161"/>
        <v>1+0,0440074218799665i</v>
      </c>
      <c r="U183" s="4">
        <f t="shared" si="173"/>
        <v>1.0009678582155</v>
      </c>
      <c r="V183" s="4">
        <f t="shared" si="174"/>
        <v>0.0439790458075922</v>
      </c>
      <c r="W183" t="str">
        <f t="shared" si="162"/>
        <v>1-0,0230842503165003i</v>
      </c>
      <c r="X183" s="4">
        <f t="shared" si="175"/>
        <v>1.00026640582031</v>
      </c>
      <c r="Y183" s="4">
        <f t="shared" si="176"/>
        <v>-0.02308015122848</v>
      </c>
      <c r="Z183" t="str">
        <f t="shared" si="163"/>
        <v>0,999998371214437+0,00724388099380384i</v>
      </c>
      <c r="AA183" s="4">
        <f t="shared" si="177"/>
        <v>1.00002460781892</v>
      </c>
      <c r="AB183" s="4">
        <f t="shared" si="178"/>
        <v>0.00724376609123902</v>
      </c>
      <c r="AC183" s="67" t="str">
        <f t="shared" si="179"/>
        <v>3,6242346324037-15,5885354839394i</v>
      </c>
      <c r="AD183" s="68">
        <f t="shared" si="180"/>
        <v>24.0847319210842</v>
      </c>
      <c r="AE183" s="31">
        <f t="shared" si="181"/>
        <v>-76.9116154504299</v>
      </c>
      <c r="AF183" s="32" t="str">
        <f t="shared" si="182"/>
        <v>249,914648392112</v>
      </c>
      <c r="AG183" s="32" t="str">
        <f t="shared" si="164"/>
        <v>1+2,94692557231918i</v>
      </c>
      <c r="AH183" s="32">
        <f t="shared" si="183"/>
        <v>3.11197209640265</v>
      </c>
      <c r="AI183" s="32">
        <f t="shared" si="184"/>
        <v>1.2436525077598</v>
      </c>
      <c r="AJ183" s="32" t="str">
        <f t="shared" si="165"/>
        <v>1+0,0440074218799665i</v>
      </c>
      <c r="AK183" s="32">
        <f t="shared" si="185"/>
        <v>1.0009678582155</v>
      </c>
      <c r="AL183" s="32">
        <f t="shared" si="186"/>
        <v>0.0439790458075922</v>
      </c>
      <c r="AM183" s="32" t="str">
        <f t="shared" si="166"/>
        <v>1-0,00445343800679028i</v>
      </c>
      <c r="AN183" s="32">
        <f t="shared" si="187"/>
        <v>1.00000991650587</v>
      </c>
      <c r="AO183" s="32">
        <f t="shared" si="188"/>
        <v>-0.00445340856529855</v>
      </c>
      <c r="AP183" s="30" t="str">
        <f t="shared" si="189"/>
        <v>28,819048745751-75,0424717465945i</v>
      </c>
      <c r="AQ183" s="32">
        <f t="shared" si="190"/>
        <v>38.1036091414031</v>
      </c>
      <c r="AR183" s="31">
        <f t="shared" si="191"/>
        <v>-68.9913876789489</v>
      </c>
      <c r="AS183" t="str">
        <f t="shared" si="167"/>
        <v>-0,000100699300699301</v>
      </c>
      <c r="AT183" t="str">
        <f t="shared" si="168"/>
        <v>0,000630642072476306i</v>
      </c>
      <c r="AU183">
        <f t="shared" si="192"/>
        <v>0.000630642072476306</v>
      </c>
      <c r="AV183">
        <f t="shared" si="193"/>
        <v>1.5707963267949</v>
      </c>
      <c r="AW183" t="str">
        <f t="shared" si="169"/>
        <v>1+0,0322877173986272i</v>
      </c>
      <c r="AX183">
        <f t="shared" si="194"/>
        <v>1.00052111256825</v>
      </c>
      <c r="AY183">
        <f t="shared" si="195"/>
        <v>0.0322765044652359</v>
      </c>
      <c r="AZ183" t="str">
        <f t="shared" si="170"/>
        <v>1+1,54362768073862i</v>
      </c>
      <c r="BA183">
        <f t="shared" si="196"/>
        <v>1.83923528042023</v>
      </c>
      <c r="BB183">
        <f t="shared" si="197"/>
        <v>0.99595189918496</v>
      </c>
      <c r="BC183" s="30" t="str">
        <f t="shared" si="198"/>
        <v>-0,241075549514587+0,167461201787746i</v>
      </c>
      <c r="BD183" s="32">
        <f t="shared" si="199"/>
        <v>-10.6469090896998</v>
      </c>
      <c r="BE183" s="31">
        <f t="shared" si="200"/>
        <v>145.214532938044</v>
      </c>
      <c r="BF183" s="30" t="str">
        <f t="shared" si="201"/>
        <v>1,7367605306749+4,36493344502142i</v>
      </c>
      <c r="BG183" s="68">
        <f t="shared" si="202"/>
        <v>13.4378228313843</v>
      </c>
      <c r="BH183" s="31">
        <f t="shared" si="203"/>
        <v>68.302917487614</v>
      </c>
      <c r="BI183" s="30" t="str">
        <f t="shared" si="209"/>
        <v>5,6191344909381+22,9169776505862i</v>
      </c>
      <c r="BJ183" s="68">
        <f t="shared" si="204"/>
        <v>27.4567000517033</v>
      </c>
      <c r="BK183" s="31">
        <f t="shared" si="210"/>
        <v>76.223145259095</v>
      </c>
      <c r="BL183" s="32">
        <f t="shared" si="205"/>
        <v>13.4378228313843</v>
      </c>
      <c r="BM183" s="31">
        <f t="shared" si="206"/>
        <v>68.302917487614</v>
      </c>
      <c r="BO183">
        <f t="shared" si="207"/>
        <v>0</v>
      </c>
      <c r="BP183">
        <f t="shared" si="208"/>
        <v>0</v>
      </c>
    </row>
    <row r="184" spans="14:68">
      <c r="N184" s="7">
        <v>66</v>
      </c>
      <c r="O184" s="18">
        <f t="shared" ref="O184:O218" si="211">10^(2+(N184/100))</f>
        <v>457.088189614876</v>
      </c>
      <c r="P184" s="86" t="str">
        <f t="shared" si="159"/>
        <v>75</v>
      </c>
      <c r="Q184" s="4" t="str">
        <f t="shared" si="160"/>
        <v>1+4,69088400188673i</v>
      </c>
      <c r="R184" s="4">
        <f t="shared" si="171"/>
        <v>4.79628947407857</v>
      </c>
      <c r="S184" s="4">
        <f t="shared" si="172"/>
        <v>1.36076094413042</v>
      </c>
      <c r="T184" s="4" t="str">
        <f t="shared" si="161"/>
        <v>1+0,0450324864181127i</v>
      </c>
      <c r="U184" s="4">
        <f t="shared" si="173"/>
        <v>1.00101344887719</v>
      </c>
      <c r="V184" s="4">
        <f t="shared" si="174"/>
        <v>0.0450020825710779</v>
      </c>
      <c r="W184" t="str">
        <f t="shared" si="162"/>
        <v>1-0,0236219515809296i</v>
      </c>
      <c r="X184" s="4">
        <f t="shared" si="175"/>
        <v>1.00027895938908</v>
      </c>
      <c r="Y184" s="4">
        <f t="shared" si="176"/>
        <v>-0.0236175593951358</v>
      </c>
      <c r="Z184" t="str">
        <f t="shared" si="163"/>
        <v>0,999998294452138+0,00741261265787524i</v>
      </c>
      <c r="AA184" s="4">
        <f t="shared" si="177"/>
        <v>1.00002576753482</v>
      </c>
      <c r="AB184" s="4">
        <f t="shared" si="178"/>
        <v>0.00741248953772996</v>
      </c>
      <c r="AC184" s="67" t="str">
        <f t="shared" si="179"/>
        <v>3,47800285473268-15,2657119865716i</v>
      </c>
      <c r="AD184" s="68">
        <f t="shared" si="180"/>
        <v>23.8941146464803</v>
      </c>
      <c r="AE184" s="31">
        <f t="shared" si="181"/>
        <v>-77.1653204662258</v>
      </c>
      <c r="AF184" s="32" t="str">
        <f t="shared" si="182"/>
        <v>249,914648392112</v>
      </c>
      <c r="AG184" s="32" t="str">
        <f t="shared" si="164"/>
        <v>1+3,01556828692718i</v>
      </c>
      <c r="AH184" s="32">
        <f t="shared" si="183"/>
        <v>3.1770508483688</v>
      </c>
      <c r="AI184" s="32">
        <f t="shared" si="184"/>
        <v>1.25059536250585</v>
      </c>
      <c r="AJ184" s="32" t="str">
        <f t="shared" si="165"/>
        <v>1+0,0450324864181127i</v>
      </c>
      <c r="AK184" s="32">
        <f t="shared" si="185"/>
        <v>1.00101344887719</v>
      </c>
      <c r="AL184" s="32">
        <f t="shared" si="186"/>
        <v>0.0450020825710779</v>
      </c>
      <c r="AM184" s="32" t="str">
        <f t="shared" si="166"/>
        <v>1-0,00455717190390528i</v>
      </c>
      <c r="AN184" s="32">
        <f t="shared" si="187"/>
        <v>1.00001038385397</v>
      </c>
      <c r="AO184" s="32">
        <f t="shared" si="188"/>
        <v>-0.00455714035679621</v>
      </c>
      <c r="AP184" s="30" t="str">
        <f t="shared" si="189"/>
        <v>27,7867252125395-73,6773933531158i</v>
      </c>
      <c r="AQ184" s="32">
        <f t="shared" si="190"/>
        <v>37.924239374224</v>
      </c>
      <c r="AR184" s="31">
        <f t="shared" si="191"/>
        <v>-69.3365116586894</v>
      </c>
      <c r="AS184" t="str">
        <f t="shared" si="167"/>
        <v>-0,000100699300699301</v>
      </c>
      <c r="AT184" t="str">
        <f t="shared" si="168"/>
        <v>0,000645331613402417i</v>
      </c>
      <c r="AU184">
        <f t="shared" si="192"/>
        <v>0.000645331613402417</v>
      </c>
      <c r="AV184">
        <f t="shared" si="193"/>
        <v>1.5707963267949</v>
      </c>
      <c r="AW184" t="str">
        <f t="shared" si="169"/>
        <v>1+0,0330397949507567i</v>
      </c>
      <c r="AX184">
        <f t="shared" si="194"/>
        <v>1.00054566514997</v>
      </c>
      <c r="AY184">
        <f t="shared" si="195"/>
        <v>0.0330277804300258</v>
      </c>
      <c r="AZ184" t="str">
        <f t="shared" si="170"/>
        <v>1+1,57958338839043i</v>
      </c>
      <c r="BA184">
        <f t="shared" si="196"/>
        <v>1.86951429009756</v>
      </c>
      <c r="BB184">
        <f t="shared" si="197"/>
        <v>1.0064089610535</v>
      </c>
      <c r="BC184" s="30" t="str">
        <f t="shared" si="198"/>
        <v>-0,24106371806159+0,16400741649974i</v>
      </c>
      <c r="BD184" s="32">
        <f t="shared" si="199"/>
        <v>-10.7052922347527</v>
      </c>
      <c r="BE184" s="31">
        <f t="shared" si="200"/>
        <v>145.770633507186</v>
      </c>
      <c r="BF184" s="30" t="str">
        <f t="shared" si="201"/>
        <v>1,66526968435604+4,25042755312376i</v>
      </c>
      <c r="BG184" s="68">
        <f t="shared" si="202"/>
        <v>13.1888224117277</v>
      </c>
      <c r="BH184" s="31">
        <f t="shared" si="203"/>
        <v>68.6053130409606</v>
      </c>
      <c r="BI184" s="30" t="str">
        <f t="shared" si="209"/>
        <v>5,38526764578914+22,3181753938852i</v>
      </c>
      <c r="BJ184" s="68">
        <f t="shared" si="204"/>
        <v>27.2189471394713</v>
      </c>
      <c r="BK184" s="31">
        <f t="shared" si="210"/>
        <v>76.434121848497</v>
      </c>
      <c r="BL184" s="32">
        <f t="shared" si="205"/>
        <v>13.1888224117277</v>
      </c>
      <c r="BM184" s="31">
        <f t="shared" si="206"/>
        <v>68.6053130409606</v>
      </c>
      <c r="BO184">
        <f t="shared" si="207"/>
        <v>0</v>
      </c>
      <c r="BP184">
        <f t="shared" si="208"/>
        <v>0</v>
      </c>
    </row>
    <row r="185" spans="14:68">
      <c r="N185" s="7">
        <v>67</v>
      </c>
      <c r="O185" s="18">
        <f t="shared" si="211"/>
        <v>467.735141287198</v>
      </c>
      <c r="P185" s="86" t="str">
        <f t="shared" si="159"/>
        <v>75</v>
      </c>
      <c r="Q185" s="4" t="str">
        <f t="shared" si="160"/>
        <v>1+4,80014872673257i</v>
      </c>
      <c r="R185" s="4">
        <f t="shared" si="171"/>
        <v>4.90320586950541</v>
      </c>
      <c r="S185" s="4">
        <f t="shared" si="172"/>
        <v>1.36540712405755</v>
      </c>
      <c r="T185" s="4" t="str">
        <f t="shared" si="161"/>
        <v>1+0,0460814277766327i</v>
      </c>
      <c r="U185" s="4">
        <f t="shared" si="173"/>
        <v>1.00106118593517</v>
      </c>
      <c r="V185" s="4">
        <f t="shared" si="174"/>
        <v>0.0460488513324881</v>
      </c>
      <c r="W185" t="str">
        <f t="shared" si="162"/>
        <v>1-0,0241721775167605i</v>
      </c>
      <c r="X185" s="4">
        <f t="shared" si="175"/>
        <v>1.00029210442045</v>
      </c>
      <c r="Y185" s="4">
        <f t="shared" si="176"/>
        <v>-0.0241674712791133</v>
      </c>
      <c r="Z185" t="str">
        <f t="shared" si="163"/>
        <v>0,999998214072144+0,00758527458729532i</v>
      </c>
      <c r="AA185" s="4">
        <f t="shared" si="177"/>
        <v>1.00002698190501</v>
      </c>
      <c r="AB185" s="4">
        <f t="shared" si="178"/>
        <v>0.00758514266187481</v>
      </c>
      <c r="AC185" s="67" t="str">
        <f t="shared" si="179"/>
        <v>3,33779162505333-14,9482926010368i</v>
      </c>
      <c r="AD185" s="68">
        <f t="shared" si="180"/>
        <v>23.7031376175845</v>
      </c>
      <c r="AE185" s="31">
        <f t="shared" si="181"/>
        <v>-77.412951460143</v>
      </c>
      <c r="AF185" s="32" t="str">
        <f t="shared" si="182"/>
        <v>249,914648392112</v>
      </c>
      <c r="AG185" s="32" t="str">
        <f t="shared" si="164"/>
        <v>1+3,08580989575665i</v>
      </c>
      <c r="AH185" s="32">
        <f t="shared" si="183"/>
        <v>3.24379757579749</v>
      </c>
      <c r="AI185" s="32">
        <f t="shared" si="184"/>
        <v>1.25741121059171</v>
      </c>
      <c r="AJ185" s="32" t="str">
        <f t="shared" si="165"/>
        <v>1+0,0460814277766327i</v>
      </c>
      <c r="AK185" s="32">
        <f t="shared" si="185"/>
        <v>1.00106118593517</v>
      </c>
      <c r="AL185" s="32">
        <f t="shared" si="186"/>
        <v>0.0460488513324881</v>
      </c>
      <c r="AM185" s="32" t="str">
        <f t="shared" si="166"/>
        <v>1-0,004663322073885i</v>
      </c>
      <c r="AN185" s="32">
        <f t="shared" si="187"/>
        <v>1.00001087322727</v>
      </c>
      <c r="AO185" s="32">
        <f t="shared" si="188"/>
        <v>-0.00466328827056846</v>
      </c>
      <c r="AP185" s="30" t="str">
        <f t="shared" si="189"/>
        <v>26,7918245354869-72,3234859532118i</v>
      </c>
      <c r="AQ185" s="32">
        <f t="shared" si="190"/>
        <v>37.7440662502892</v>
      </c>
      <c r="AR185" s="31">
        <f t="shared" si="191"/>
        <v>-69.67313738312</v>
      </c>
      <c r="AS185" t="str">
        <f t="shared" si="167"/>
        <v>-0,000100699300699301</v>
      </c>
      <c r="AT185" t="str">
        <f t="shared" si="168"/>
        <v>0,000660363317691924i</v>
      </c>
      <c r="AU185">
        <f t="shared" si="192"/>
        <v>0.000660363317691924</v>
      </c>
      <c r="AV185">
        <f t="shared" si="193"/>
        <v>1.5707963267949</v>
      </c>
      <c r="AW185" t="str">
        <f t="shared" si="169"/>
        <v>1+0,0338093906395022i</v>
      </c>
      <c r="AX185">
        <f t="shared" si="194"/>
        <v>1.00057137421346</v>
      </c>
      <c r="AY185">
        <f t="shared" si="195"/>
        <v>0.0337965172456117</v>
      </c>
      <c r="AZ185" t="str">
        <f t="shared" si="170"/>
        <v>1+1,61637661206301i</v>
      </c>
      <c r="BA185">
        <f t="shared" si="196"/>
        <v>1.90070338349367</v>
      </c>
      <c r="BB185">
        <f t="shared" si="197"/>
        <v>1.01676354049309</v>
      </c>
      <c r="BC185" s="30" t="str">
        <f t="shared" si="198"/>
        <v>-0,241051330254037+0,160640553301244i</v>
      </c>
      <c r="BD185" s="32">
        <f t="shared" si="199"/>
        <v>-10.7618042426856</v>
      </c>
      <c r="BE185" s="31">
        <f t="shared" si="200"/>
        <v>146.319861832618</v>
      </c>
      <c r="BF185" s="30" t="str">
        <f t="shared" si="201"/>
        <v>1,59672288300955+4,13949050995932i</v>
      </c>
      <c r="BG185" s="68">
        <f t="shared" si="202"/>
        <v>12.9413333748989</v>
      </c>
      <c r="BH185" s="31">
        <f t="shared" si="203"/>
        <v>68.9069103724754</v>
      </c>
      <c r="BI185" s="30" t="str">
        <f t="shared" si="209"/>
        <v>5,15987985598683+21,7375260149613i</v>
      </c>
      <c r="BJ185" s="68">
        <f t="shared" si="204"/>
        <v>26.9822620076036</v>
      </c>
      <c r="BK185" s="31">
        <f t="shared" si="210"/>
        <v>76.6467244494984</v>
      </c>
      <c r="BL185" s="32">
        <f t="shared" si="205"/>
        <v>12.9413333748989</v>
      </c>
      <c r="BM185" s="31">
        <f t="shared" si="206"/>
        <v>68.9069103724754</v>
      </c>
      <c r="BO185">
        <f t="shared" si="207"/>
        <v>0</v>
      </c>
      <c r="BP185">
        <f t="shared" si="208"/>
        <v>0</v>
      </c>
    </row>
    <row r="186" spans="14:68">
      <c r="N186" s="7">
        <v>68</v>
      </c>
      <c r="O186" s="18">
        <f t="shared" si="211"/>
        <v>478.630092322639</v>
      </c>
      <c r="P186" s="86" t="str">
        <f t="shared" si="159"/>
        <v>75</v>
      </c>
      <c r="Q186" s="4" t="str">
        <f t="shared" si="160"/>
        <v>1+4,91195855397083i</v>
      </c>
      <c r="R186" s="4">
        <f t="shared" si="171"/>
        <v>5.01271751008644</v>
      </c>
      <c r="S186" s="4">
        <f t="shared" si="172"/>
        <v>1.36995625162257</v>
      </c>
      <c r="T186" s="4" t="str">
        <f t="shared" si="161"/>
        <v>1+0,04715480211812i</v>
      </c>
      <c r="U186" s="4">
        <f t="shared" si="173"/>
        <v>1.00111117033165</v>
      </c>
      <c r="V186" s="4">
        <f t="shared" si="174"/>
        <v>0.0471198979214908</v>
      </c>
      <c r="W186" t="str">
        <f t="shared" si="162"/>
        <v>1-0,0247352198610674i</v>
      </c>
      <c r="X186" s="4">
        <f t="shared" si="175"/>
        <v>1.00030586877293</v>
      </c>
      <c r="Y186" s="4">
        <f t="shared" si="176"/>
        <v>-0.0247301771198498</v>
      </c>
      <c r="Z186" t="str">
        <f t="shared" si="163"/>
        <v>0,999998129903957+0,00776195832970459i</v>
      </c>
      <c r="AA186" s="4">
        <f t="shared" si="177"/>
        <v>1.00002825350513</v>
      </c>
      <c r="AB186" s="4">
        <f t="shared" si="178"/>
        <v>0.00776181696928512</v>
      </c>
      <c r="AC186" s="67" t="str">
        <f t="shared" si="179"/>
        <v>3,20337624207204-14,6362737690322i</v>
      </c>
      <c r="AD186" s="68">
        <f t="shared" si="180"/>
        <v>23.5118177294313</v>
      </c>
      <c r="AE186" s="31">
        <f t="shared" si="181"/>
        <v>-77.6545941828186</v>
      </c>
      <c r="AF186" s="32" t="str">
        <f t="shared" si="182"/>
        <v>249,914648392112</v>
      </c>
      <c r="AG186" s="32" t="str">
        <f t="shared" si="164"/>
        <v>1+3,15768764183839i</v>
      </c>
      <c r="AH186" s="32">
        <f t="shared" si="183"/>
        <v>3.3122486687172</v>
      </c>
      <c r="AI186" s="32">
        <f t="shared" si="184"/>
        <v>1.26410113191919</v>
      </c>
      <c r="AJ186" s="32" t="str">
        <f t="shared" si="165"/>
        <v>1+0,04715480211812i</v>
      </c>
      <c r="AK186" s="32">
        <f t="shared" si="185"/>
        <v>1.00111117033165</v>
      </c>
      <c r="AL186" s="32">
        <f t="shared" si="186"/>
        <v>0.0471198979214908</v>
      </c>
      <c r="AM186" s="32" t="str">
        <f t="shared" si="166"/>
        <v>1-0,00477194479895468i</v>
      </c>
      <c r="AN186" s="32">
        <f t="shared" si="187"/>
        <v>1.00001138566377</v>
      </c>
      <c r="AO186" s="32">
        <f t="shared" si="188"/>
        <v>-0.0047719085780707</v>
      </c>
      <c r="AP186" s="30" t="str">
        <f t="shared" si="189"/>
        <v>25,8333464461267-70,9815419354916i</v>
      </c>
      <c r="AQ186" s="32">
        <f t="shared" si="190"/>
        <v>37.563120602972</v>
      </c>
      <c r="AR186" s="31">
        <f t="shared" si="191"/>
        <v>-70.0012986764367</v>
      </c>
      <c r="AS186" t="str">
        <f t="shared" si="167"/>
        <v>-0,000100699300699301</v>
      </c>
      <c r="AT186" t="str">
        <f t="shared" si="168"/>
        <v>0,000675745155353417i</v>
      </c>
      <c r="AU186">
        <f t="shared" si="192"/>
        <v>0.000675745155353417</v>
      </c>
      <c r="AV186">
        <f t="shared" si="193"/>
        <v>1.5707963267949</v>
      </c>
      <c r="AW186" t="str">
        <f t="shared" si="169"/>
        <v>1+0,0345969125146852i</v>
      </c>
      <c r="AX186">
        <f t="shared" si="194"/>
        <v>1.0005982941998</v>
      </c>
      <c r="AY186">
        <f t="shared" si="195"/>
        <v>0.0345831188700333</v>
      </c>
      <c r="AZ186" t="str">
        <f t="shared" si="170"/>
        <v>1+1,65402686001058i</v>
      </c>
      <c r="BA186">
        <f t="shared" si="196"/>
        <v>1.93282302698319</v>
      </c>
      <c r="BB186">
        <f t="shared" si="197"/>
        <v>1.02701224577746</v>
      </c>
      <c r="BC186" s="30" t="str">
        <f t="shared" si="198"/>
        <v>-0,241038359991615+0,157358824410024i</v>
      </c>
      <c r="BD186" s="32">
        <f t="shared" si="199"/>
        <v>-10.8164830662547</v>
      </c>
      <c r="BE186" s="31">
        <f t="shared" si="200"/>
        <v>146.862000437648</v>
      </c>
      <c r="BF186" s="30" t="str">
        <f t="shared" si="201"/>
        <v>1,53101027821303+4,03198294527127i</v>
      </c>
      <c r="BG186" s="68">
        <f t="shared" si="202"/>
        <v>12.6953346631766</v>
      </c>
      <c r="BH186" s="31">
        <f t="shared" si="203"/>
        <v>69.2074062548299</v>
      </c>
      <c r="BI186" s="30" t="str">
        <f t="shared" si="209"/>
        <v>4,94274453331018+21,1743794851463i</v>
      </c>
      <c r="BJ186" s="68">
        <f t="shared" si="204"/>
        <v>26.7466375367173</v>
      </c>
      <c r="BK186" s="31">
        <f t="shared" si="210"/>
        <v>76.8607017612117</v>
      </c>
      <c r="BL186" s="32">
        <f t="shared" si="205"/>
        <v>12.6953346631766</v>
      </c>
      <c r="BM186" s="31">
        <f t="shared" si="206"/>
        <v>69.2074062548299</v>
      </c>
      <c r="BO186">
        <f t="shared" si="207"/>
        <v>0</v>
      </c>
      <c r="BP186">
        <f t="shared" si="208"/>
        <v>0</v>
      </c>
    </row>
    <row r="187" spans="14:68">
      <c r="N187" s="7">
        <v>69</v>
      </c>
      <c r="O187" s="18">
        <f t="shared" si="211"/>
        <v>489.778819368446</v>
      </c>
      <c r="P187" s="86" t="str">
        <f t="shared" si="159"/>
        <v>75</v>
      </c>
      <c r="Q187" s="4" t="str">
        <f t="shared" si="160"/>
        <v>1+5,02637276665184i</v>
      </c>
      <c r="R187" s="4">
        <f t="shared" si="171"/>
        <v>5.12488274883819</v>
      </c>
      <c r="S187" s="4">
        <f t="shared" si="172"/>
        <v>1.37440998534086</v>
      </c>
      <c r="T187" s="4" t="str">
        <f t="shared" si="161"/>
        <v>1+0,0482531785598578i</v>
      </c>
      <c r="U187" s="4">
        <f t="shared" si="173"/>
        <v>1.00116350774543</v>
      </c>
      <c r="V187" s="4">
        <f t="shared" si="174"/>
        <v>0.0482157803864438</v>
      </c>
      <c r="W187" t="str">
        <f t="shared" si="162"/>
        <v>1-0,0253113771463539i</v>
      </c>
      <c r="X187" s="4">
        <f t="shared" si="175"/>
        <v>1.00032028161637</v>
      </c>
      <c r="Y187" s="4">
        <f t="shared" si="176"/>
        <v>-0.0253059738452218</v>
      </c>
      <c r="Z187" t="str">
        <f t="shared" si="163"/>
        <v>0,999998041769046+0,00794275756516192i</v>
      </c>
      <c r="AA187" s="4">
        <f t="shared" si="177"/>
        <v>1.0000295850322</v>
      </c>
      <c r="AB187" s="4">
        <f t="shared" si="178"/>
        <v>0.00794260609498521</v>
      </c>
      <c r="AC187" s="67" t="str">
        <f t="shared" si="179"/>
        <v>3,07453841161108-14,3296453079431i</v>
      </c>
      <c r="AD187" s="68">
        <f t="shared" si="180"/>
        <v>23.3201713357347</v>
      </c>
      <c r="AE187" s="31">
        <f t="shared" si="181"/>
        <v>-77.8903340639726</v>
      </c>
      <c r="AF187" s="32" t="str">
        <f t="shared" si="182"/>
        <v>249,914648392112</v>
      </c>
      <c r="AG187" s="32" t="str">
        <f t="shared" si="164"/>
        <v>1+3,23123963570476i</v>
      </c>
      <c r="AH187" s="32">
        <f t="shared" si="183"/>
        <v>3.38244136436235</v>
      </c>
      <c r="AI187" s="32">
        <f t="shared" si="184"/>
        <v>1.27066627747144</v>
      </c>
      <c r="AJ187" s="32" t="str">
        <f t="shared" si="165"/>
        <v>1+0,0482531785598578i</v>
      </c>
      <c r="AK187" s="32">
        <f t="shared" si="185"/>
        <v>1.00116350774543</v>
      </c>
      <c r="AL187" s="32">
        <f t="shared" si="186"/>
        <v>0.0482157803864438</v>
      </c>
      <c r="AM187" s="32" t="str">
        <f t="shared" si="166"/>
        <v>1-0,0048830976723209i</v>
      </c>
      <c r="AN187" s="32">
        <f t="shared" si="187"/>
        <v>1.00001192225037</v>
      </c>
      <c r="AO187" s="32">
        <f t="shared" si="188"/>
        <v>-0.00488305886096945</v>
      </c>
      <c r="AP187" s="30" t="str">
        <f t="shared" si="189"/>
        <v>24,9102881587473-69,652291919625i</v>
      </c>
      <c r="AQ187" s="32">
        <f t="shared" si="190"/>
        <v>37.3814324942391</v>
      </c>
      <c r="AR187" s="31">
        <f t="shared" si="191"/>
        <v>-70.3210328104874</v>
      </c>
      <c r="AS187" t="str">
        <f t="shared" si="167"/>
        <v>-0,000100699300699301</v>
      </c>
      <c r="AT187" t="str">
        <f t="shared" si="168"/>
        <v>0,00069148528204082i</v>
      </c>
      <c r="AU187">
        <f t="shared" si="192"/>
        <v>0.00069148528204082</v>
      </c>
      <c r="AV187">
        <f t="shared" si="193"/>
        <v>1.5707963267949</v>
      </c>
      <c r="AW187" t="str">
        <f t="shared" si="169"/>
        <v>1+0,0354027781308276i</v>
      </c>
      <c r="AX187">
        <f t="shared" si="194"/>
        <v>1.00062648210977</v>
      </c>
      <c r="AY187">
        <f t="shared" si="195"/>
        <v>0.03538799847403</v>
      </c>
      <c r="AZ187" t="str">
        <f t="shared" si="170"/>
        <v>1+1,69255409489297i</v>
      </c>
      <c r="BA187">
        <f t="shared" si="196"/>
        <v>1.96589403685421</v>
      </c>
      <c r="BB187">
        <f t="shared" si="197"/>
        <v>1.03715189862175</v>
      </c>
      <c r="BC187" s="30" t="str">
        <f t="shared" si="198"/>
        <v>-0,241024779955482+0,154160486996059i</v>
      </c>
      <c r="BD187" s="32">
        <f t="shared" si="199"/>
        <v>-10.8693674669505</v>
      </c>
      <c r="BE187" s="31">
        <f t="shared" si="200"/>
        <v>147.396843547029</v>
      </c>
      <c r="BF187" s="30" t="str">
        <f t="shared" si="201"/>
        <v>1,46802515503006+3,92777194600914i</v>
      </c>
      <c r="BG187" s="68">
        <f t="shared" si="202"/>
        <v>12.4508038687841</v>
      </c>
      <c r="BH187" s="31">
        <f t="shared" si="203"/>
        <v>69.5065094830564</v>
      </c>
      <c r="BI187" s="30" t="str">
        <f t="shared" si="209"/>
        <v>4,73363452063134+20,6281104870873i</v>
      </c>
      <c r="BJ187" s="68">
        <f t="shared" si="204"/>
        <v>26.5120650272886</v>
      </c>
      <c r="BK187" s="31">
        <f t="shared" si="210"/>
        <v>77.0758107365417</v>
      </c>
      <c r="BL187" s="32">
        <f t="shared" si="205"/>
        <v>12.4508038687841</v>
      </c>
      <c r="BM187" s="31">
        <f t="shared" si="206"/>
        <v>69.5065094830564</v>
      </c>
      <c r="BO187">
        <f t="shared" si="207"/>
        <v>0</v>
      </c>
      <c r="BP187">
        <f t="shared" si="208"/>
        <v>0</v>
      </c>
    </row>
    <row r="188" spans="14:68">
      <c r="N188" s="7">
        <v>70</v>
      </c>
      <c r="O188" s="18">
        <f t="shared" si="211"/>
        <v>501.187233627273</v>
      </c>
      <c r="P188" s="86" t="str">
        <f t="shared" si="159"/>
        <v>75</v>
      </c>
      <c r="Q188" s="4" t="str">
        <f t="shared" si="160"/>
        <v>1+5,14345202870567i</v>
      </c>
      <c r="R188" s="4">
        <f t="shared" si="171"/>
        <v>5.23976132773206</v>
      </c>
      <c r="S188" s="4">
        <f t="shared" si="172"/>
        <v>1.37876997956011</v>
      </c>
      <c r="T188" s="4" t="str">
        <f t="shared" si="161"/>
        <v>1+0,0493771394755745i</v>
      </c>
      <c r="U188" s="4">
        <f t="shared" si="173"/>
        <v>1.00121830881321</v>
      </c>
      <c r="V188" s="4">
        <f t="shared" si="174"/>
        <v>0.0493370692438767</v>
      </c>
      <c r="W188" t="str">
        <f t="shared" si="162"/>
        <v>1-0,0259009548588393i</v>
      </c>
      <c r="X188" s="4">
        <f t="shared" si="175"/>
        <v>1.00033537349361</v>
      </c>
      <c r="Y188" s="4">
        <f t="shared" si="176"/>
        <v>-0.0258951652221944</v>
      </c>
      <c r="Z188" t="str">
        <f t="shared" si="163"/>
        <v>0,999997949480464+0,00812776815581515i</v>
      </c>
      <c r="AA188" s="4">
        <f t="shared" si="177"/>
        <v>1.0000309793103</v>
      </c>
      <c r="AB188" s="4">
        <f t="shared" si="178"/>
        <v>0.00812760585286788</v>
      </c>
      <c r="AC188" s="67" t="str">
        <f t="shared" si="179"/>
        <v>2,95106623984134-14,0283908890133i</v>
      </c>
      <c r="AD188" s="68">
        <f t="shared" si="180"/>
        <v>23.1282142683933</v>
      </c>
      <c r="AE188" s="31">
        <f t="shared" si="181"/>
        <v>-78.1202560968552</v>
      </c>
      <c r="AF188" s="32" t="str">
        <f t="shared" si="182"/>
        <v>249,914648392112</v>
      </c>
      <c r="AG188" s="32" t="str">
        <f t="shared" si="164"/>
        <v>1+3,3065048755965i</v>
      </c>
      <c r="AH188" s="32">
        <f t="shared" si="183"/>
        <v>3.4544137697073</v>
      </c>
      <c r="AI188" s="32">
        <f t="shared" si="184"/>
        <v>1.27710786364135</v>
      </c>
      <c r="AJ188" s="32" t="str">
        <f t="shared" si="165"/>
        <v>1+0,0493771394755745i</v>
      </c>
      <c r="AK188" s="32">
        <f t="shared" si="185"/>
        <v>1.00121830881321</v>
      </c>
      <c r="AL188" s="32">
        <f t="shared" si="186"/>
        <v>0.0493370692438767</v>
      </c>
      <c r="AM188" s="32" t="str">
        <f t="shared" si="166"/>
        <v>1-0,00499683962870845i</v>
      </c>
      <c r="AN188" s="32">
        <f t="shared" si="187"/>
        <v>1.00001248412521</v>
      </c>
      <c r="AO188" s="32">
        <f t="shared" si="188"/>
        <v>-0.00499679804162415</v>
      </c>
      <c r="AP188" s="30" t="str">
        <f t="shared" si="189"/>
        <v>24,0216472913991-68,3364068571044i</v>
      </c>
      <c r="AQ188" s="32">
        <f t="shared" si="190"/>
        <v>37.1990312157177</v>
      </c>
      <c r="AR188" s="31">
        <f t="shared" si="191"/>
        <v>-70.6323801672639</v>
      </c>
      <c r="AS188" t="str">
        <f t="shared" si="167"/>
        <v>-0,000100699300699301</v>
      </c>
      <c r="AT188" t="str">
        <f t="shared" si="168"/>
        <v>0,000707592043377653i</v>
      </c>
      <c r="AU188">
        <f t="shared" si="192"/>
        <v>0.000707592043377653</v>
      </c>
      <c r="AV188">
        <f t="shared" si="193"/>
        <v>1.5707963267949</v>
      </c>
      <c r="AW188" t="str">
        <f t="shared" si="169"/>
        <v>1+0,0362274147685463i</v>
      </c>
      <c r="AX188">
        <f t="shared" si="194"/>
        <v>1.00065599762396</v>
      </c>
      <c r="AY188">
        <f t="shared" si="195"/>
        <v>0.0362115786416303</v>
      </c>
      <c r="AZ188" t="str">
        <f t="shared" si="170"/>
        <v>1+1,73197874436007i</v>
      </c>
      <c r="BA188">
        <f t="shared" si="196"/>
        <v>1.99993759175507</v>
      </c>
      <c r="BB188">
        <f t="shared" si="197"/>
        <v>1.04717953483221</v>
      </c>
      <c r="BC188" s="30" t="str">
        <f t="shared" si="198"/>
        <v>-0,241010561551929+0,151043842244175i</v>
      </c>
      <c r="BD188" s="32">
        <f t="shared" si="199"/>
        <v>-10.9204969043238</v>
      </c>
      <c r="BE188" s="31">
        <f t="shared" si="200"/>
        <v>147.924197112687</v>
      </c>
      <c r="BF188" s="30" t="str">
        <f t="shared" si="201"/>
        <v>1,40766392873865+3,82673074941377i</v>
      </c>
      <c r="BG188" s="68">
        <f t="shared" si="202"/>
        <v>12.2077173640695</v>
      </c>
      <c r="BH188" s="31">
        <f t="shared" si="203"/>
        <v>69.8039410158316</v>
      </c>
      <c r="BI188" s="30" t="str">
        <f t="shared" si="209"/>
        <v>4,53232275375576+20,0981176949991i</v>
      </c>
      <c r="BJ188" s="68">
        <f t="shared" si="204"/>
        <v>26.2785343113938</v>
      </c>
      <c r="BK188" s="31">
        <f t="shared" si="210"/>
        <v>77.2918169454229</v>
      </c>
      <c r="BL188" s="32">
        <f t="shared" si="205"/>
        <v>12.2077173640695</v>
      </c>
      <c r="BM188" s="31">
        <f t="shared" si="206"/>
        <v>69.8039410158316</v>
      </c>
      <c r="BO188">
        <f t="shared" si="207"/>
        <v>0</v>
      </c>
      <c r="BP188">
        <f t="shared" si="208"/>
        <v>0</v>
      </c>
    </row>
    <row r="189" spans="14:68">
      <c r="N189" s="7">
        <v>71</v>
      </c>
      <c r="O189" s="18">
        <f t="shared" si="211"/>
        <v>512.861383991365</v>
      </c>
      <c r="P189" s="86" t="str">
        <f t="shared" si="159"/>
        <v>75</v>
      </c>
      <c r="Q189" s="4" t="str">
        <f t="shared" si="160"/>
        <v>1+5,26325841710674i</v>
      </c>
      <c r="R189" s="4">
        <f t="shared" si="171"/>
        <v>5.35741441044511</v>
      </c>
      <c r="S189" s="4">
        <f t="shared" si="172"/>
        <v>1.38303788263693</v>
      </c>
      <c r="T189" s="4" t="str">
        <f t="shared" si="161"/>
        <v>1+0,0505272808042247i</v>
      </c>
      <c r="U189" s="4">
        <f t="shared" si="173"/>
        <v>1.00127568936106</v>
      </c>
      <c r="V189" s="4">
        <f t="shared" si="174"/>
        <v>0.0504843477313044</v>
      </c>
      <c r="W189" t="str">
        <f t="shared" si="162"/>
        <v>1-0,0265042656004304i</v>
      </c>
      <c r="X189" s="4">
        <f t="shared" si="175"/>
        <v>1.00035117638508</v>
      </c>
      <c r="Y189" s="4">
        <f t="shared" si="176"/>
        <v>-0.0264980620106112</v>
      </c>
      <c r="Z189" t="str">
        <f t="shared" si="163"/>
        <v>0,999997852842456+0,00831708819672831i</v>
      </c>
      <c r="AA189" s="4">
        <f t="shared" si="177"/>
        <v>1.00003243929664</v>
      </c>
      <c r="AB189" s="4">
        <f t="shared" si="178"/>
        <v>0.00831691428629135</v>
      </c>
      <c r="AC189" s="67" t="str">
        <f t="shared" si="179"/>
        <v>2,83275420723964-13,7324884942749i</v>
      </c>
      <c r="AD189" s="68">
        <f t="shared" si="180"/>
        <v>22.9359618570618</v>
      </c>
      <c r="AE189" s="31">
        <f t="shared" si="181"/>
        <v>-78.3444447309914</v>
      </c>
      <c r="AF189" s="32" t="str">
        <f t="shared" si="182"/>
        <v>249,914648392112</v>
      </c>
      <c r="AG189" s="32" t="str">
        <f t="shared" si="164"/>
        <v>1+3,38352326814004i</v>
      </c>
      <c r="AH189" s="32">
        <f t="shared" si="183"/>
        <v>3.5282048843633</v>
      </c>
      <c r="AI189" s="32">
        <f t="shared" si="184"/>
        <v>1.28342716675958</v>
      </c>
      <c r="AJ189" s="32" t="str">
        <f t="shared" si="165"/>
        <v>1+0,0505272808042247i</v>
      </c>
      <c r="AK189" s="32">
        <f t="shared" si="185"/>
        <v>1.00127568936106</v>
      </c>
      <c r="AL189" s="32">
        <f t="shared" si="186"/>
        <v>0.0504843477313044</v>
      </c>
      <c r="AM189" s="32" t="str">
        <f t="shared" si="166"/>
        <v>1-0,00511323097560812i</v>
      </c>
      <c r="AN189" s="32">
        <f t="shared" si="187"/>
        <v>1.00001307248006</v>
      </c>
      <c r="AO189" s="32">
        <f t="shared" si="188"/>
        <v>-0.00511318641427591</v>
      </c>
      <c r="AP189" s="30" t="str">
        <f t="shared" si="189"/>
        <v>23,1664245482353-67,0345002035843i</v>
      </c>
      <c r="AQ189" s="32">
        <f t="shared" si="190"/>
        <v>37.015945292122</v>
      </c>
      <c r="AR189" s="31">
        <f t="shared" si="191"/>
        <v>-70.9353839126839</v>
      </c>
      <c r="AS189" t="str">
        <f t="shared" si="167"/>
        <v>-0,000100699300699301</v>
      </c>
      <c r="AT189" t="str">
        <f t="shared" si="168"/>
        <v>0,00072407397938197i</v>
      </c>
      <c r="AU189">
        <f t="shared" si="192"/>
        <v>0.00072407397938197</v>
      </c>
      <c r="AV189">
        <f t="shared" si="193"/>
        <v>1.5707963267949</v>
      </c>
      <c r="AW189" t="str">
        <f t="shared" si="169"/>
        <v>1+0,0370712596611017i</v>
      </c>
      <c r="AX189">
        <f t="shared" si="194"/>
        <v>1.00068690322841</v>
      </c>
      <c r="AY189">
        <f t="shared" si="195"/>
        <v>0.0370542915744159</v>
      </c>
      <c r="AZ189" t="str">
        <f t="shared" si="170"/>
        <v>1+1,77232171188288i</v>
      </c>
      <c r="BA189">
        <f t="shared" si="196"/>
        <v>2.03497524565078</v>
      </c>
      <c r="BB189">
        <f t="shared" si="197"/>
        <v>1.05709240410672</v>
      </c>
      <c r="BC189" s="30" t="str">
        <f t="shared" si="198"/>
        <v>-0,240995674853531+0,148007234439073i</v>
      </c>
      <c r="BD189" s="32">
        <f t="shared" si="199"/>
        <v>-10.9699114275348</v>
      </c>
      <c r="BE189" s="31">
        <f t="shared" si="200"/>
        <v>148.443878790591</v>
      </c>
      <c r="BF189" s="30" t="str">
        <f t="shared" si="201"/>
        <v>1,34982613213612+3,72873844815532i</v>
      </c>
      <c r="BG189" s="68">
        <f t="shared" si="202"/>
        <v>11.966050429527</v>
      </c>
      <c r="BH189" s="31">
        <f t="shared" si="203"/>
        <v>70.0994340595999</v>
      </c>
      <c r="BI189" s="30" t="str">
        <f t="shared" si="209"/>
        <v>4,33858286919261+19,5838230442577i</v>
      </c>
      <c r="BJ189" s="68">
        <f t="shared" si="204"/>
        <v>26.0460338645872</v>
      </c>
      <c r="BK189" s="31">
        <f t="shared" si="210"/>
        <v>77.5084948779074</v>
      </c>
      <c r="BL189" s="32">
        <f t="shared" si="205"/>
        <v>11.966050429527</v>
      </c>
      <c r="BM189" s="31">
        <f t="shared" si="206"/>
        <v>70.0994340595999</v>
      </c>
      <c r="BO189">
        <f t="shared" si="207"/>
        <v>0</v>
      </c>
      <c r="BP189">
        <f t="shared" si="208"/>
        <v>0</v>
      </c>
    </row>
    <row r="190" spans="14:68">
      <c r="N190" s="7">
        <v>72</v>
      </c>
      <c r="O190" s="18">
        <f t="shared" si="211"/>
        <v>524.807460249772</v>
      </c>
      <c r="P190" s="86" t="str">
        <f t="shared" si="159"/>
        <v>75</v>
      </c>
      <c r="Q190" s="4" t="str">
        <f t="shared" si="160"/>
        <v>1+5,38585545478801i</v>
      </c>
      <c r="R190" s="4">
        <f t="shared" si="171"/>
        <v>5.4779046158061</v>
      </c>
      <c r="S190" s="4">
        <f t="shared" si="172"/>
        <v>1.38721533525068</v>
      </c>
      <c r="T190" s="4" t="str">
        <f t="shared" si="161"/>
        <v>1+0,051704212365965i</v>
      </c>
      <c r="U190" s="4">
        <f t="shared" si="173"/>
        <v>1.00133577064658</v>
      </c>
      <c r="V190" s="4">
        <f t="shared" si="174"/>
        <v>0.0516582120632828</v>
      </c>
      <c r="W190" t="str">
        <f t="shared" si="162"/>
        <v>1-0,0271216292544682i</v>
      </c>
      <c r="X190" s="4">
        <f t="shared" si="175"/>
        <v>1.00036772377632</v>
      </c>
      <c r="Y190" s="4">
        <f t="shared" si="176"/>
        <v>-0.0271149821201766</v>
      </c>
      <c r="Z190" t="str">
        <f t="shared" si="163"/>
        <v>0,999997751650038+0,00851081806789304i</v>
      </c>
      <c r="AA190" s="4">
        <f t="shared" si="177"/>
        <v>1.00003396808774</v>
      </c>
      <c r="AB190" s="4">
        <f t="shared" si="178"/>
        <v>0.00851063171984393</v>
      </c>
      <c r="AC190" s="67" t="str">
        <f t="shared" si="179"/>
        <v>2,71940312526822-13,4419108523953i</v>
      </c>
      <c r="AD190" s="68">
        <f t="shared" si="180"/>
        <v>22.7434289487405</v>
      </c>
      <c r="AE190" s="31">
        <f t="shared" si="181"/>
        <v>-78.5629837728674</v>
      </c>
      <c r="AF190" s="32" t="str">
        <f t="shared" si="182"/>
        <v>249,914648392112</v>
      </c>
      <c r="AG190" s="32" t="str">
        <f t="shared" si="164"/>
        <v>1+3,46233564950658i</v>
      </c>
      <c r="AH190" s="32">
        <f t="shared" si="183"/>
        <v>3.60385462384988</v>
      </c>
      <c r="AI190" s="32">
        <f t="shared" si="184"/>
        <v>1.28962551782808</v>
      </c>
      <c r="AJ190" s="32" t="str">
        <f t="shared" si="165"/>
        <v>1+0,051704212365965i</v>
      </c>
      <c r="AK190" s="32">
        <f t="shared" si="185"/>
        <v>1.00133577064658</v>
      </c>
      <c r="AL190" s="32">
        <f t="shared" si="186"/>
        <v>0.0516582120632828</v>
      </c>
      <c r="AM190" s="32" t="str">
        <f t="shared" si="166"/>
        <v>1-0,00523233342525267i</v>
      </c>
      <c r="AN190" s="32">
        <f t="shared" si="187"/>
        <v>1.00001368856285</v>
      </c>
      <c r="AO190" s="32">
        <f t="shared" si="188"/>
        <v>-0.00523228567696024</v>
      </c>
      <c r="AP190" s="30" t="str">
        <f t="shared" si="189"/>
        <v>22,3436261705933-65,7471301441045i</v>
      </c>
      <c r="AQ190" s="32">
        <f t="shared" si="190"/>
        <v>36.8322024868511</v>
      </c>
      <c r="AR190" s="31">
        <f t="shared" si="191"/>
        <v>-71.2300896820008</v>
      </c>
      <c r="AS190" t="str">
        <f t="shared" si="167"/>
        <v>-0,000100699300699301</v>
      </c>
      <c r="AT190" t="str">
        <f t="shared" si="168"/>
        <v>0,000740939828994409i</v>
      </c>
      <c r="AU190">
        <f t="shared" si="192"/>
        <v>0.000740939828994409</v>
      </c>
      <c r="AV190">
        <f t="shared" si="193"/>
        <v>1.5707963267949</v>
      </c>
      <c r="AW190" t="str">
        <f t="shared" si="169"/>
        <v>1+0,0379347602262255i</v>
      </c>
      <c r="AX190">
        <f t="shared" si="194"/>
        <v>1.00071926434611</v>
      </c>
      <c r="AY190">
        <f t="shared" si="195"/>
        <v>0.0379165792994825</v>
      </c>
      <c r="AZ190" t="str">
        <f t="shared" si="170"/>
        <v>1+1,81360438783678i</v>
      </c>
      <c r="BA190">
        <f t="shared" si="196"/>
        <v>2.0710289412707</v>
      </c>
      <c r="BB190">
        <f t="shared" si="197"/>
        <v>1.06688796903002</v>
      </c>
      <c r="BC190" s="30" t="str">
        <f t="shared" si="198"/>
        <v>-0,240980088537612+0,145049050072219i</v>
      </c>
      <c r="BD190" s="32">
        <f t="shared" si="199"/>
        <v>-11.0176515696383</v>
      </c>
      <c r="BE190" s="31">
        <f t="shared" si="200"/>
        <v>148.955717871271</v>
      </c>
      <c r="BF190" s="30" t="str">
        <f t="shared" si="201"/>
        <v>1,2944143943988+3,63367970740849i</v>
      </c>
      <c r="BG190" s="68">
        <f t="shared" si="202"/>
        <v>11.7257773791022</v>
      </c>
      <c r="BH190" s="31">
        <f t="shared" si="203"/>
        <v>70.3927340984031</v>
      </c>
      <c r="BI190" s="30" t="str">
        <f t="shared" si="209"/>
        <v>4,15218975953603+19,0846709944335i</v>
      </c>
      <c r="BJ190" s="68">
        <f t="shared" si="204"/>
        <v>25.8145509172128</v>
      </c>
      <c r="BK190" s="31">
        <f t="shared" si="210"/>
        <v>77.7256281892698</v>
      </c>
      <c r="BL190" s="32">
        <f t="shared" si="205"/>
        <v>11.7257773791022</v>
      </c>
      <c r="BM190" s="31">
        <f t="shared" si="206"/>
        <v>70.3927340984031</v>
      </c>
      <c r="BO190">
        <f t="shared" si="207"/>
        <v>0</v>
      </c>
      <c r="BP190">
        <f t="shared" si="208"/>
        <v>0</v>
      </c>
    </row>
    <row r="191" spans="14:68">
      <c r="N191" s="7">
        <v>73</v>
      </c>
      <c r="O191" s="18">
        <f t="shared" si="211"/>
        <v>537.031796370253</v>
      </c>
      <c r="P191" s="86" t="str">
        <f t="shared" si="159"/>
        <v>75</v>
      </c>
      <c r="Q191" s="4" t="str">
        <f t="shared" si="160"/>
        <v>1+5,51130814432165i</v>
      </c>
      <c r="R191" s="4">
        <f t="shared" si="171"/>
        <v>5.60129605195674</v>
      </c>
      <c r="S191" s="4">
        <f t="shared" si="172"/>
        <v>1.39130396884842</v>
      </c>
      <c r="T191" s="4" t="str">
        <f t="shared" si="161"/>
        <v>1+0,0529085581854879i</v>
      </c>
      <c r="U191" s="4">
        <f t="shared" si="173"/>
        <v>1.0013986796123</v>
      </c>
      <c r="V191" s="4">
        <f t="shared" si="174"/>
        <v>0.0528592716905927</v>
      </c>
      <c r="W191" t="str">
        <f t="shared" si="162"/>
        <v>1-0,0277533731553341i</v>
      </c>
      <c r="X191" s="4">
        <f t="shared" si="175"/>
        <v>1.00038505072872</v>
      </c>
      <c r="Y191" s="4">
        <f t="shared" si="176"/>
        <v>-0.0277462507706722</v>
      </c>
      <c r="Z191" t="str">
        <f t="shared" si="163"/>
        <v>0,999997645688569+0,00870906048745139i</v>
      </c>
      <c r="AA191" s="4">
        <f t="shared" si="177"/>
        <v>1.00003556892605</v>
      </c>
      <c r="AB191" s="4">
        <f t="shared" si="178"/>
        <v>0.00870886081230241</v>
      </c>
      <c r="AC191" s="67" t="str">
        <f t="shared" si="179"/>
        <v>2,61082007765053-13,156625853697i</v>
      </c>
      <c r="AD191" s="68">
        <f t="shared" si="180"/>
        <v>22.5506299273469</v>
      </c>
      <c r="AE191" s="31">
        <f t="shared" si="181"/>
        <v>-78.7759562941918</v>
      </c>
      <c r="AF191" s="32" t="str">
        <f t="shared" si="182"/>
        <v>249,914648392112</v>
      </c>
      <c r="AG191" s="32" t="str">
        <f t="shared" si="164"/>
        <v>1+3,54298380706392i</v>
      </c>
      <c r="AH191" s="32">
        <f t="shared" si="183"/>
        <v>3.68140384325289</v>
      </c>
      <c r="AI191" s="32">
        <f t="shared" si="184"/>
        <v>1.2957042974632</v>
      </c>
      <c r="AJ191" s="32" t="str">
        <f t="shared" si="165"/>
        <v>1+0,0529085581854879i</v>
      </c>
      <c r="AK191" s="32">
        <f t="shared" si="185"/>
        <v>1.0013986796123</v>
      </c>
      <c r="AL191" s="32">
        <f t="shared" si="186"/>
        <v>0.0528592716905927</v>
      </c>
      <c r="AM191" s="32" t="str">
        <f t="shared" si="166"/>
        <v>1-0,00535421012733742i</v>
      </c>
      <c r="AN191" s="32">
        <f t="shared" si="187"/>
        <v>1.00001433368032</v>
      </c>
      <c r="AO191" s="32">
        <f t="shared" si="188"/>
        <v>-0.00535415896415989</v>
      </c>
      <c r="AP191" s="30" t="str">
        <f t="shared" si="189"/>
        <v>21,5522661651296-64,474801854117i</v>
      </c>
      <c r="AQ191" s="32">
        <f t="shared" si="190"/>
        <v>36.6478298095789</v>
      </c>
      <c r="AR191" s="31">
        <f t="shared" si="191"/>
        <v>-71.5165452770869</v>
      </c>
      <c r="AS191" t="str">
        <f t="shared" si="167"/>
        <v>-0,000100699300699301</v>
      </c>
      <c r="AT191" t="str">
        <f t="shared" si="168"/>
        <v>0,00075819853471168i</v>
      </c>
      <c r="AU191">
        <f t="shared" si="192"/>
        <v>0.00075819853471168</v>
      </c>
      <c r="AV191">
        <f t="shared" si="193"/>
        <v>1.5707963267949</v>
      </c>
      <c r="AW191" t="str">
        <f t="shared" si="169"/>
        <v>1+0,0388183743033473i</v>
      </c>
      <c r="AX191">
        <f t="shared" si="194"/>
        <v>1.00075314947471</v>
      </c>
      <c r="AY191">
        <f t="shared" si="195"/>
        <v>0.0387988938811041</v>
      </c>
      <c r="AZ191" t="str">
        <f t="shared" si="170"/>
        <v>1+1,855848660843i</v>
      </c>
      <c r="BA191">
        <f t="shared" si="196"/>
        <v>2.10812102402892</v>
      </c>
      <c r="BB191">
        <f t="shared" si="197"/>
        <v>1.07656390331137</v>
      </c>
      <c r="BC191" s="30" t="str">
        <f t="shared" si="198"/>
        <v>-0,240963769821949+0,142167716970017i</v>
      </c>
      <c r="BD191" s="32">
        <f t="shared" si="199"/>
        <v>-11.0637582450619</v>
      </c>
      <c r="BE191" s="31">
        <f t="shared" si="200"/>
        <v>149.459555166708</v>
      </c>
      <c r="BF191" s="30" t="str">
        <f t="shared" si="201"/>
        <v>1,2413344124113+3,5414444937028i</v>
      </c>
      <c r="BG191" s="68">
        <f t="shared" si="202"/>
        <v>11.486871682285</v>
      </c>
      <c r="BH191" s="31">
        <f t="shared" si="203"/>
        <v>70.6835988725163</v>
      </c>
      <c r="BI191" s="30" t="str">
        <f t="shared" si="209"/>
        <v>3,97292007833837+18,6001277895178i</v>
      </c>
      <c r="BJ191" s="68">
        <f t="shared" si="204"/>
        <v>25.5840715645171</v>
      </c>
      <c r="BK191" s="31">
        <f t="shared" si="210"/>
        <v>77.9430098896213</v>
      </c>
      <c r="BL191" s="32">
        <f t="shared" si="205"/>
        <v>11.486871682285</v>
      </c>
      <c r="BM191" s="31">
        <f t="shared" si="206"/>
        <v>70.6835988725163</v>
      </c>
      <c r="BO191">
        <f t="shared" si="207"/>
        <v>0</v>
      </c>
      <c r="BP191">
        <f t="shared" si="208"/>
        <v>0</v>
      </c>
    </row>
    <row r="192" spans="14:68">
      <c r="N192" s="7">
        <v>74</v>
      </c>
      <c r="O192" s="18">
        <f t="shared" si="211"/>
        <v>549.540873857625</v>
      </c>
      <c r="P192" s="86" t="str">
        <f t="shared" si="159"/>
        <v>75</v>
      </c>
      <c r="Q192" s="4" t="str">
        <f t="shared" si="160"/>
        <v>1+5,6396830023842i</v>
      </c>
      <c r="R192" s="4">
        <f t="shared" si="171"/>
        <v>5.72765435124897</v>
      </c>
      <c r="S192" s="4">
        <f t="shared" si="172"/>
        <v>1.39530540421437</v>
      </c>
      <c r="T192" s="4" t="str">
        <f t="shared" si="161"/>
        <v>1+0,0541409568228884i</v>
      </c>
      <c r="U192" s="4">
        <f t="shared" si="173"/>
        <v>1.00146454915074</v>
      </c>
      <c r="V192" s="4">
        <f t="shared" si="174"/>
        <v>0.0540881495624304</v>
      </c>
      <c r="W192" t="str">
        <f t="shared" si="162"/>
        <v>1-0,0283998322620062i</v>
      </c>
      <c r="X192" s="4">
        <f t="shared" si="175"/>
        <v>1.00040319395357</v>
      </c>
      <c r="Y192" s="4">
        <f t="shared" si="176"/>
        <v>-0.0283922006554547</v>
      </c>
      <c r="Z192" t="str">
        <f t="shared" si="163"/>
        <v>0,999997534733289+0,00891192056615823i</v>
      </c>
      <c r="AA192" s="4">
        <f t="shared" si="177"/>
        <v>1.00003724520681</v>
      </c>
      <c r="AB192" s="4">
        <f t="shared" si="178"/>
        <v>0.0089117066108112</v>
      </c>
      <c r="AC192" s="67" t="str">
        <f t="shared" si="179"/>
        <v>2,50681834799306-12,8765969446929i</v>
      </c>
      <c r="AD192" s="68">
        <f t="shared" si="180"/>
        <v>22.3575787332347</v>
      </c>
      <c r="AE192" s="31">
        <f t="shared" si="181"/>
        <v>-78.9834445473833</v>
      </c>
      <c r="AF192" s="32" t="str">
        <f t="shared" si="182"/>
        <v>249,914648392112</v>
      </c>
      <c r="AG192" s="32" t="str">
        <f t="shared" si="164"/>
        <v>1+3,6255105015327i</v>
      </c>
      <c r="AH192" s="32">
        <f t="shared" si="183"/>
        <v>3.76089436128215</v>
      </c>
      <c r="AI192" s="32">
        <f t="shared" si="184"/>
        <v>1.30166493105105</v>
      </c>
      <c r="AJ192" s="32" t="str">
        <f t="shared" si="165"/>
        <v>1+0,0541409568228884i</v>
      </c>
      <c r="AK192" s="32">
        <f t="shared" si="185"/>
        <v>1.00146454915074</v>
      </c>
      <c r="AL192" s="32">
        <f t="shared" si="186"/>
        <v>0.0540881495624304</v>
      </c>
      <c r="AM192" s="32" t="str">
        <f t="shared" si="166"/>
        <v>1-0,00547892570250303i</v>
      </c>
      <c r="AN192" s="32">
        <f t="shared" si="187"/>
        <v>1.00001500920079</v>
      </c>
      <c r="AO192" s="32">
        <f t="shared" si="188"/>
        <v>-0.00547887088021503</v>
      </c>
      <c r="AP192" s="30" t="str">
        <f t="shared" si="189"/>
        <v>20,7913683180398-63,2179697807906i</v>
      </c>
      <c r="AQ192" s="32">
        <f t="shared" si="190"/>
        <v>36.4628535256622</v>
      </c>
      <c r="AR192" s="31">
        <f t="shared" si="191"/>
        <v>-71.7948003757462</v>
      </c>
      <c r="AS192" t="str">
        <f t="shared" si="167"/>
        <v>-0,000100699300699301</v>
      </c>
      <c r="AT192" t="str">
        <f t="shared" si="168"/>
        <v>0,000775859247327998i</v>
      </c>
      <c r="AU192">
        <f t="shared" si="192"/>
        <v>0.000775859247327998</v>
      </c>
      <c r="AV192">
        <f t="shared" si="193"/>
        <v>1.5707963267949</v>
      </c>
      <c r="AW192" t="str">
        <f t="shared" si="169"/>
        <v>1+0,0397225703963466i</v>
      </c>
      <c r="AX192">
        <f t="shared" si="194"/>
        <v>1.00078863033055</v>
      </c>
      <c r="AY192">
        <f t="shared" si="195"/>
        <v>0.0397016976361079</v>
      </c>
      <c r="AZ192" t="str">
        <f t="shared" si="170"/>
        <v>1+1,89907692937427i</v>
      </c>
      <c r="BA192">
        <f t="shared" si="196"/>
        <v>2.14627425639912</v>
      </c>
      <c r="BB192">
        <f t="shared" si="197"/>
        <v>1.0861180893151</v>
      </c>
      <c r="BC192" s="30" t="str">
        <f t="shared" si="198"/>
        <v>-0,240946684397585+0,139361703442758i</v>
      </c>
      <c r="BD192" s="32">
        <f t="shared" si="199"/>
        <v>-11.1082726506836</v>
      </c>
      <c r="BE192" s="31">
        <f t="shared" si="200"/>
        <v>149.955242856515</v>
      </c>
      <c r="BF192" s="30" t="str">
        <f t="shared" si="201"/>
        <v>1,19049491542226+3,4519278153457i</v>
      </c>
      <c r="BG192" s="68">
        <f t="shared" si="202"/>
        <v>11.2493060825511</v>
      </c>
      <c r="BH192" s="31">
        <f t="shared" si="203"/>
        <v>70.9717983091315</v>
      </c>
      <c r="BI192" s="30" t="str">
        <f t="shared" si="209"/>
        <v>3,80055269652309+18,129680718736i</v>
      </c>
      <c r="BJ192" s="68">
        <f t="shared" si="204"/>
        <v>25.3545808749786</v>
      </c>
      <c r="BK192" s="31">
        <f t="shared" si="210"/>
        <v>78.1604424807686</v>
      </c>
      <c r="BL192" s="32">
        <f t="shared" si="205"/>
        <v>11.2493060825511</v>
      </c>
      <c r="BM192" s="31">
        <f t="shared" si="206"/>
        <v>70.9717983091315</v>
      </c>
      <c r="BO192">
        <f t="shared" si="207"/>
        <v>0</v>
      </c>
      <c r="BP192">
        <f t="shared" si="208"/>
        <v>0</v>
      </c>
    </row>
    <row r="193" spans="14:68">
      <c r="N193" s="7">
        <v>75</v>
      </c>
      <c r="O193" s="18">
        <f t="shared" si="211"/>
        <v>562.341325190349</v>
      </c>
      <c r="P193" s="86" t="str">
        <f t="shared" si="159"/>
        <v>75</v>
      </c>
      <c r="Q193" s="4" t="str">
        <f t="shared" si="160"/>
        <v>1+5,77104809502463i</v>
      </c>
      <c r="R193" s="4">
        <f t="shared" si="171"/>
        <v>5.85704670589943</v>
      </c>
      <c r="S193" s="4">
        <f t="shared" si="172"/>
        <v>1.39922125015775</v>
      </c>
      <c r="T193" s="4" t="str">
        <f t="shared" si="161"/>
        <v>1+0,0554020617122365i</v>
      </c>
      <c r="U193" s="4">
        <f t="shared" si="173"/>
        <v>1.00153351838167</v>
      </c>
      <c r="V193" s="4">
        <f t="shared" si="174"/>
        <v>0.0553454823914633</v>
      </c>
      <c r="W193" t="str">
        <f t="shared" si="162"/>
        <v>1-0,0290613493356598i</v>
      </c>
      <c r="X193" s="4">
        <f t="shared" si="175"/>
        <v>1.00042219188961</v>
      </c>
      <c r="Y193" s="4">
        <f t="shared" si="176"/>
        <v>-0.029053172108282</v>
      </c>
      <c r="Z193" t="str">
        <f t="shared" si="163"/>
        <v>0,999997418548849+0,00911950586311244i</v>
      </c>
      <c r="AA193" s="4">
        <f t="shared" si="177"/>
        <v>1.00003900048526</v>
      </c>
      <c r="AB193" s="4">
        <f t="shared" si="178"/>
        <v>0.00911927660630997</v>
      </c>
      <c r="AC193" s="67" t="str">
        <f t="shared" si="179"/>
        <v>2,40721733538295-12,6017835025467i</v>
      </c>
      <c r="AD193" s="68">
        <f t="shared" si="180"/>
        <v>22.1642888826314</v>
      </c>
      <c r="AE193" s="31">
        <f t="shared" si="181"/>
        <v>-79.1855298879371</v>
      </c>
      <c r="AF193" s="32" t="str">
        <f t="shared" si="182"/>
        <v>249,914648392112</v>
      </c>
      <c r="AG193" s="32" t="str">
        <f t="shared" si="164"/>
        <v>1+3,70995948965869i</v>
      </c>
      <c r="AH193" s="32">
        <f t="shared" si="183"/>
        <v>3.84236898474217</v>
      </c>
      <c r="AI193" s="32">
        <f t="shared" si="184"/>
        <v>1.30750888411622</v>
      </c>
      <c r="AJ193" s="32" t="str">
        <f t="shared" si="165"/>
        <v>1+0,0554020617122365i</v>
      </c>
      <c r="AK193" s="32">
        <f t="shared" si="185"/>
        <v>1.00153351838167</v>
      </c>
      <c r="AL193" s="32">
        <f t="shared" si="186"/>
        <v>0.0553454823914633</v>
      </c>
      <c r="AM193" s="32" t="str">
        <f t="shared" si="166"/>
        <v>1-0,00560654627659826i</v>
      </c>
      <c r="AN193" s="32">
        <f t="shared" si="187"/>
        <v>1.00001571655707</v>
      </c>
      <c r="AO193" s="32">
        <f t="shared" si="188"/>
        <v>-0.00560648753350818</v>
      </c>
      <c r="AP193" s="30" t="str">
        <f t="shared" si="189"/>
        <v>20,0599680049439-61,9770399305898i</v>
      </c>
      <c r="AQ193" s="32">
        <f t="shared" si="190"/>
        <v>36.2772991672014</v>
      </c>
      <c r="AR193" s="31">
        <f t="shared" si="191"/>
        <v>-72.0649062531357</v>
      </c>
      <c r="AS193" t="str">
        <f t="shared" si="167"/>
        <v>-0,000100699300699301</v>
      </c>
      <c r="AT193" t="str">
        <f t="shared" si="168"/>
        <v>0,000793931330786961i</v>
      </c>
      <c r="AU193">
        <f t="shared" si="192"/>
        <v>0.000793931330786961</v>
      </c>
      <c r="AV193">
        <f t="shared" si="193"/>
        <v>1.5707963267949</v>
      </c>
      <c r="AW193" t="str">
        <f t="shared" si="169"/>
        <v>1+0,0406478279219604i</v>
      </c>
      <c r="AX193">
        <f t="shared" si="194"/>
        <v>1.00082578199943</v>
      </c>
      <c r="AY193">
        <f t="shared" si="195"/>
        <v>0.0406254633529619</v>
      </c>
      <c r="AZ193" t="str">
        <f t="shared" si="170"/>
        <v>1+1,94331211363074i</v>
      </c>
      <c r="BA193">
        <f t="shared" si="196"/>
        <v>2.18551183272568</v>
      </c>
      <c r="BB193">
        <f t="shared" si="197"/>
        <v>1.0955486149369</v>
      </c>
      <c r="BC193" s="30" t="str">
        <f t="shared" si="198"/>
        <v>-0,240928796358621+0,136629517453803i</v>
      </c>
      <c r="BD193" s="32">
        <f t="shared" si="199"/>
        <v>-11.1512361708631</v>
      </c>
      <c r="BE193" s="31">
        <f t="shared" si="200"/>
        <v>150.442644296399</v>
      </c>
      <c r="BF193" s="30" t="str">
        <f t="shared" si="201"/>
        <v>1,14180762382283+3,36502947418031i</v>
      </c>
      <c r="BG193" s="68">
        <f t="shared" si="202"/>
        <v>11.0130527117682</v>
      </c>
      <c r="BH193" s="31">
        <f t="shared" si="203"/>
        <v>71.2571144084619</v>
      </c>
      <c r="BI193" s="30" t="str">
        <f t="shared" si="209"/>
        <v>3,63486911250798+17,6728373810014i</v>
      </c>
      <c r="BJ193" s="68">
        <f t="shared" si="204"/>
        <v>25.1260629963383</v>
      </c>
      <c r="BK193" s="31">
        <f t="shared" si="210"/>
        <v>78.3777380432633</v>
      </c>
      <c r="BL193" s="32">
        <f t="shared" si="205"/>
        <v>11.0130527117682</v>
      </c>
      <c r="BM193" s="31">
        <f t="shared" si="206"/>
        <v>71.2571144084619</v>
      </c>
      <c r="BO193">
        <f t="shared" si="207"/>
        <v>0</v>
      </c>
      <c r="BP193">
        <f t="shared" si="208"/>
        <v>0</v>
      </c>
    </row>
    <row r="194" spans="14:68">
      <c r="N194" s="7">
        <v>76</v>
      </c>
      <c r="O194" s="18">
        <f t="shared" si="211"/>
        <v>575.439937337157</v>
      </c>
      <c r="P194" s="86" t="str">
        <f t="shared" si="159"/>
        <v>75</v>
      </c>
      <c r="Q194" s="4" t="str">
        <f t="shared" si="160"/>
        <v>1+5,90547307375391i</v>
      </c>
      <c r="R194" s="4">
        <f t="shared" si="171"/>
        <v>5.98954190442245</v>
      </c>
      <c r="S194" s="4">
        <f t="shared" si="172"/>
        <v>1.40305310231288</v>
      </c>
      <c r="T194" s="4" t="str">
        <f t="shared" si="161"/>
        <v>1+0,0566925415080376i</v>
      </c>
      <c r="U194" s="4">
        <f t="shared" si="173"/>
        <v>1.00160573294218</v>
      </c>
      <c r="V194" s="4">
        <f t="shared" si="174"/>
        <v>0.0566319209215935</v>
      </c>
      <c r="W194" t="str">
        <f t="shared" si="162"/>
        <v>1-0,0297382751214036i</v>
      </c>
      <c r="X194" s="4">
        <f t="shared" si="175"/>
        <v>1.00044208478412</v>
      </c>
      <c r="Y194" s="4">
        <f t="shared" si="176"/>
        <v>-0.0297295132735063</v>
      </c>
      <c r="Z194" t="str">
        <f t="shared" si="163"/>
        <v>0,999997296888804+0,00933192644278622i</v>
      </c>
      <c r="AA194" s="4">
        <f t="shared" si="177"/>
        <v>1.00004083848413</v>
      </c>
      <c r="AB194" s="4">
        <f t="shared" si="178"/>
        <v>0.0093316807902377</v>
      </c>
      <c r="AC194" s="67" t="str">
        <f t="shared" si="179"/>
        <v>2,31184245947545-12,3321411899336i</v>
      </c>
      <c r="AD194" s="68">
        <f t="shared" si="180"/>
        <v>21.9707734869691</v>
      </c>
      <c r="AE194" s="31">
        <f t="shared" si="181"/>
        <v>-79.3822927033328</v>
      </c>
      <c r="AF194" s="32" t="str">
        <f t="shared" si="182"/>
        <v>249,914648392112</v>
      </c>
      <c r="AG194" s="32" t="str">
        <f t="shared" si="164"/>
        <v>1+3,79637554741323i</v>
      </c>
      <c r="AH194" s="32">
        <f t="shared" si="183"/>
        <v>3.92587153343014</v>
      </c>
      <c r="AI194" s="32">
        <f t="shared" si="184"/>
        <v>1.31323765790402</v>
      </c>
      <c r="AJ194" s="32" t="str">
        <f t="shared" si="165"/>
        <v>1+0,0566925415080376i</v>
      </c>
      <c r="AK194" s="32">
        <f t="shared" si="185"/>
        <v>1.00160573294218</v>
      </c>
      <c r="AL194" s="32">
        <f t="shared" si="186"/>
        <v>0.0566319209215935</v>
      </c>
      <c r="AM194" s="32" t="str">
        <f t="shared" si="166"/>
        <v>1-0,00573713951574075i</v>
      </c>
      <c r="AN194" s="32">
        <f t="shared" si="187"/>
        <v>1.00001645724949</v>
      </c>
      <c r="AO194" s="32">
        <f t="shared" si="188"/>
        <v>-0.00573707657144162</v>
      </c>
      <c r="AP194" s="30" t="str">
        <f t="shared" si="189"/>
        <v>19,357113806417-60,752372150593i</v>
      </c>
      <c r="AQ194" s="32">
        <f t="shared" si="190"/>
        <v>36.0911915455979</v>
      </c>
      <c r="AR194" s="31">
        <f t="shared" si="191"/>
        <v>-72.3269155153062</v>
      </c>
      <c r="AS194" t="str">
        <f t="shared" si="167"/>
        <v>-0,000100699300699301</v>
      </c>
      <c r="AT194" t="str">
        <f t="shared" si="168"/>
        <v>0,00081242436714643i</v>
      </c>
      <c r="AU194">
        <f t="shared" si="192"/>
        <v>0.00081242436714643</v>
      </c>
      <c r="AV194">
        <f t="shared" si="193"/>
        <v>1.5707963267949</v>
      </c>
      <c r="AW194" t="str">
        <f t="shared" si="169"/>
        <v>1+0,0415946374639761i</v>
      </c>
      <c r="AX194">
        <f t="shared" si="194"/>
        <v>1.00086468309445</v>
      </c>
      <c r="AY194">
        <f t="shared" si="195"/>
        <v>0.041570674514568</v>
      </c>
      <c r="AZ194" t="str">
        <f t="shared" si="170"/>
        <v>1+1,98857766769264i</v>
      </c>
      <c r="BA194">
        <f t="shared" si="196"/>
        <v>2.22585739445408</v>
      </c>
      <c r="BB194">
        <f t="shared" si="197"/>
        <v>1.10485376988014</v>
      </c>
      <c r="BC194" s="30" t="str">
        <f t="shared" si="198"/>
        <v>-0,240910068128885+0,133969705808468i</v>
      </c>
      <c r="BD194" s="32">
        <f t="shared" si="199"/>
        <v>-11.1926902867252</v>
      </c>
      <c r="BE194" s="31">
        <f t="shared" si="200"/>
        <v>150.921633792053</v>
      </c>
      <c r="BF194" s="30" t="str">
        <f t="shared" si="201"/>
        <v>1,09518720278842+3,28065382841338i</v>
      </c>
      <c r="BG194" s="68">
        <f t="shared" si="202"/>
        <v>10.7780832002439</v>
      </c>
      <c r="BH194" s="31">
        <f t="shared" si="203"/>
        <v>71.5393410887205</v>
      </c>
      <c r="BI194" s="30" t="str">
        <f t="shared" si="209"/>
        <v>3,47565381829901+17,2291249557375i</v>
      </c>
      <c r="BJ194" s="68">
        <f t="shared" si="204"/>
        <v>24.8985012588728</v>
      </c>
      <c r="BK194" s="31">
        <f t="shared" si="210"/>
        <v>78.5947182767472</v>
      </c>
      <c r="BL194" s="32">
        <f t="shared" si="205"/>
        <v>10.7780832002439</v>
      </c>
      <c r="BM194" s="31">
        <f t="shared" si="206"/>
        <v>71.5393410887205</v>
      </c>
      <c r="BO194">
        <f t="shared" si="207"/>
        <v>0</v>
      </c>
      <c r="BP194">
        <f t="shared" si="208"/>
        <v>0</v>
      </c>
    </row>
    <row r="195" spans="14:68">
      <c r="N195" s="7">
        <v>77</v>
      </c>
      <c r="O195" s="18">
        <f t="shared" si="211"/>
        <v>588.84365535559</v>
      </c>
      <c r="P195" s="86" t="str">
        <f t="shared" si="159"/>
        <v>75</v>
      </c>
      <c r="Q195" s="4" t="str">
        <f t="shared" si="160"/>
        <v>1+6,04302921247506i</v>
      </c>
      <c r="R195" s="4">
        <f t="shared" si="171"/>
        <v>6.12521036886301</v>
      </c>
      <c r="S195" s="4">
        <f t="shared" si="172"/>
        <v>1.4068025420455</v>
      </c>
      <c r="T195" s="4" t="str">
        <f t="shared" si="161"/>
        <v>1+0,0580130804397606i</v>
      </c>
      <c r="U195" s="4">
        <f t="shared" si="173"/>
        <v>1.00168134529006</v>
      </c>
      <c r="V195" s="4">
        <f t="shared" si="174"/>
        <v>0.0579481301982487</v>
      </c>
      <c r="W195" t="str">
        <f t="shared" si="162"/>
        <v>1-0,0304309685342494i</v>
      </c>
      <c r="X195" s="4">
        <f t="shared" si="175"/>
        <v>1.00046291477792</v>
      </c>
      <c r="Y195" s="4">
        <f t="shared" si="176"/>
        <v>-0.0304215802796798</v>
      </c>
      <c r="Z195" t="str">
        <f t="shared" si="163"/>
        <v>0,999997169495098+0,0095492949333826i</v>
      </c>
      <c r="AA195" s="4">
        <f t="shared" si="177"/>
        <v>1.00004276310162</v>
      </c>
      <c r="AB195" s="4">
        <f t="shared" si="178"/>
        <v>0.0095490317125417</v>
      </c>
      <c r="AC195" s="67" t="str">
        <f t="shared" si="179"/>
        <v>2,22052505647244-12,0676222908216i</v>
      </c>
      <c r="AD195" s="68">
        <f t="shared" si="180"/>
        <v>21.77704527209</v>
      </c>
      <c r="AE195" s="31">
        <f t="shared" si="181"/>
        <v>-79.5738123481574</v>
      </c>
      <c r="AF195" s="32" t="str">
        <f t="shared" si="182"/>
        <v>249,914648392112</v>
      </c>
      <c r="AG195" s="32" t="str">
        <f t="shared" si="164"/>
        <v>1+3,88480449373397i</v>
      </c>
      <c r="AH195" s="32">
        <f t="shared" si="183"/>
        <v>4.0114468654758</v>
      </c>
      <c r="AI195" s="32">
        <f t="shared" si="184"/>
        <v>1.31885278517491</v>
      </c>
      <c r="AJ195" s="32" t="str">
        <f t="shared" si="165"/>
        <v>1+0,0580130804397606i</v>
      </c>
      <c r="AK195" s="32">
        <f t="shared" si="185"/>
        <v>1.00168134529006</v>
      </c>
      <c r="AL195" s="32">
        <f t="shared" si="186"/>
        <v>0.0579481301982487</v>
      </c>
      <c r="AM195" s="32" t="str">
        <f t="shared" si="166"/>
        <v>1-0,00587077466219451i</v>
      </c>
      <c r="AN195" s="32">
        <f t="shared" si="187"/>
        <v>1.00001723284908</v>
      </c>
      <c r="AO195" s="32">
        <f t="shared" si="188"/>
        <v>-0.00587070721622561</v>
      </c>
      <c r="AP195" s="30" t="str">
        <f t="shared" si="189"/>
        <v>18,681868939408-59,5442823924069i</v>
      </c>
      <c r="AQ195" s="32">
        <f t="shared" si="190"/>
        <v>35.9045547654573</v>
      </c>
      <c r="AR195" s="31">
        <f t="shared" si="191"/>
        <v>-72.5808818448089</v>
      </c>
      <c r="AS195" t="str">
        <f t="shared" si="167"/>
        <v>-0,000100699300699301</v>
      </c>
      <c r="AT195" t="str">
        <f t="shared" si="168"/>
        <v>0,00083134816165907i</v>
      </c>
      <c r="AU195">
        <f t="shared" si="192"/>
        <v>0.00083134816165907</v>
      </c>
      <c r="AV195">
        <f t="shared" si="193"/>
        <v>1.5707963267949</v>
      </c>
      <c r="AW195" t="str">
        <f t="shared" si="169"/>
        <v>1+0,0425635010333452i</v>
      </c>
      <c r="AX195">
        <f t="shared" si="194"/>
        <v>1.00090541592111</v>
      </c>
      <c r="AY195">
        <f t="shared" si="195"/>
        <v>0.0425378255247484</v>
      </c>
      <c r="AZ195" t="str">
        <f t="shared" si="170"/>
        <v>1+2,03489759195589i</v>
      </c>
      <c r="BA195">
        <f t="shared" si="196"/>
        <v>2.26733504576361</v>
      </c>
      <c r="BB195">
        <f t="shared" si="197"/>
        <v>1.1140320413875</v>
      </c>
      <c r="BC195" s="30" t="str">
        <f t="shared" si="198"/>
        <v>-0,240890460385305+0,131380853362097i</v>
      </c>
      <c r="BD195" s="32">
        <f t="shared" si="199"/>
        <v>-11.2326764899463</v>
      </c>
      <c r="BE195" s="31">
        <f t="shared" si="200"/>
        <v>151.392096341615</v>
      </c>
      <c r="BF195" s="30" t="str">
        <f t="shared" si="201"/>
        <v>1,05055121146885+3,19870956622325i</v>
      </c>
      <c r="BG195" s="68">
        <f t="shared" si="202"/>
        <v>10.5443687821437</v>
      </c>
      <c r="BH195" s="31">
        <f t="shared" si="203"/>
        <v>71.818283993458</v>
      </c>
      <c r="BI195" s="30" t="str">
        <f t="shared" si="209"/>
        <v>3,32269462387618+16,7980894824778i</v>
      </c>
      <c r="BJ195" s="68">
        <f t="shared" si="204"/>
        <v>24.6718782755109</v>
      </c>
      <c r="BK195" s="31">
        <f t="shared" si="210"/>
        <v>78.8112144968064</v>
      </c>
      <c r="BL195" s="32">
        <f t="shared" si="205"/>
        <v>10.5443687821437</v>
      </c>
      <c r="BM195" s="31">
        <f t="shared" si="206"/>
        <v>71.818283993458</v>
      </c>
      <c r="BO195">
        <f t="shared" si="207"/>
        <v>0</v>
      </c>
      <c r="BP195">
        <f t="shared" si="208"/>
        <v>0</v>
      </c>
    </row>
    <row r="196" spans="14:68">
      <c r="N196" s="7">
        <v>78</v>
      </c>
      <c r="O196" s="18">
        <f t="shared" si="211"/>
        <v>602.559586074358</v>
      </c>
      <c r="P196" s="86" t="str">
        <f t="shared" si="159"/>
        <v>75</v>
      </c>
      <c r="Q196" s="4" t="str">
        <f t="shared" si="160"/>
        <v>1+6,18378944527361i</v>
      </c>
      <c r="R196" s="4">
        <f t="shared" si="171"/>
        <v>6.26412419285229</v>
      </c>
      <c r="S196" s="4">
        <f t="shared" si="172"/>
        <v>1.41047113545965</v>
      </c>
      <c r="T196" s="4" t="str">
        <f t="shared" si="161"/>
        <v>1+0,0593643786746267i</v>
      </c>
      <c r="U196" s="4">
        <f t="shared" si="173"/>
        <v>1.00176051502114</v>
      </c>
      <c r="V196" s="4">
        <f t="shared" si="174"/>
        <v>0.0592947898410081</v>
      </c>
      <c r="W196" t="str">
        <f t="shared" si="162"/>
        <v>1-0,0311397968494136i</v>
      </c>
      <c r="X196" s="4">
        <f t="shared" si="175"/>
        <v>1.00048472599427</v>
      </c>
      <c r="Y196" s="4">
        <f t="shared" si="176"/>
        <v>-0.0311297374166115</v>
      </c>
      <c r="Z196" t="str">
        <f t="shared" si="163"/>
        <v>0,999997036097512+0,00977172658655252i</v>
      </c>
      <c r="AA196" s="4">
        <f t="shared" si="177"/>
        <v>1.00004477841959</v>
      </c>
      <c r="AB196" s="4">
        <f t="shared" si="178"/>
        <v>0.00977144454102125</v>
      </c>
      <c r="AC196" s="67" t="str">
        <f t="shared" si="179"/>
        <v>2,13310226728591-11,8081760277375i</v>
      </c>
      <c r="AD196" s="68">
        <f t="shared" si="180"/>
        <v>21.5831165973086</v>
      </c>
      <c r="AE196" s="31">
        <f t="shared" si="181"/>
        <v>-79.7601670851269</v>
      </c>
      <c r="AF196" s="32" t="str">
        <f t="shared" si="182"/>
        <v>249,914648392112</v>
      </c>
      <c r="AG196" s="32" t="str">
        <f t="shared" si="164"/>
        <v>1+3,97529321481875i</v>
      </c>
      <c r="AH196" s="32">
        <f t="shared" si="183"/>
        <v>4.09914090313861</v>
      </c>
      <c r="AI196" s="32">
        <f t="shared" si="184"/>
        <v>1.32435582620931</v>
      </c>
      <c r="AJ196" s="32" t="str">
        <f t="shared" si="165"/>
        <v>1+0,0593643786746267i</v>
      </c>
      <c r="AK196" s="32">
        <f t="shared" si="185"/>
        <v>1.00176051502114</v>
      </c>
      <c r="AL196" s="32">
        <f t="shared" si="186"/>
        <v>0.0592947898410081</v>
      </c>
      <c r="AM196" s="32" t="str">
        <f t="shared" si="166"/>
        <v>1-0,00600752257108305i</v>
      </c>
      <c r="AN196" s="32">
        <f t="shared" si="187"/>
        <v>1.00001804500091</v>
      </c>
      <c r="AO196" s="32">
        <f t="shared" si="188"/>
        <v>-0.00600745030149575</v>
      </c>
      <c r="AP196" s="30" t="str">
        <f t="shared" si="189"/>
        <v>18,0333125149237-58,3530449488566i</v>
      </c>
      <c r="AQ196" s="32">
        <f t="shared" si="190"/>
        <v>35.7174122396987</v>
      </c>
      <c r="AR196" s="31">
        <f t="shared" si="191"/>
        <v>-72.8268597582599</v>
      </c>
      <c r="AS196" t="str">
        <f t="shared" si="167"/>
        <v>-0,000100699300699301</v>
      </c>
      <c r="AT196" t="str">
        <f t="shared" si="168"/>
        <v>0,000850712747971213i</v>
      </c>
      <c r="AU196">
        <f t="shared" si="192"/>
        <v>0.000850712747971213</v>
      </c>
      <c r="AV196">
        <f t="shared" si="193"/>
        <v>1.5707963267949</v>
      </c>
      <c r="AW196" t="str">
        <f t="shared" si="169"/>
        <v>1+0,0435549323343568i</v>
      </c>
      <c r="AX196">
        <f t="shared" si="194"/>
        <v>1.00094806665014</v>
      </c>
      <c r="AY196">
        <f t="shared" si="195"/>
        <v>0.0435274219384088</v>
      </c>
      <c r="AZ196" t="str">
        <f t="shared" si="170"/>
        <v>1+2,08229644585744i</v>
      </c>
      <c r="BA196">
        <f t="shared" si="196"/>
        <v>2.30996936958708</v>
      </c>
      <c r="BB196">
        <f t="shared" si="197"/>
        <v>1.1230821094832</v>
      </c>
      <c r="BC196" s="30" t="str">
        <f t="shared" si="198"/>
        <v>-0,240869931977886+0,128861582246799i</v>
      </c>
      <c r="BD196" s="32">
        <f t="shared" si="199"/>
        <v>-11.2712362012424</v>
      </c>
      <c r="BE196" s="31">
        <f t="shared" si="200"/>
        <v>151.853927349881</v>
      </c>
      <c r="BF196" s="30" t="str">
        <f t="shared" si="201"/>
        <v>1,00782004835994+3,11910948984073i</v>
      </c>
      <c r="BG196" s="68">
        <f t="shared" si="202"/>
        <v>10.3118803960661</v>
      </c>
      <c r="BH196" s="31">
        <f t="shared" si="203"/>
        <v>72.0937602647543</v>
      </c>
      <c r="BI196" s="30" t="str">
        <f t="shared" si="209"/>
        <v>3,17578294222261+16,3792951513577i</v>
      </c>
      <c r="BJ196" s="68">
        <f t="shared" si="204"/>
        <v>24.4461760384563</v>
      </c>
      <c r="BK196" s="31">
        <f t="shared" si="210"/>
        <v>79.0270675916212</v>
      </c>
      <c r="BL196" s="32">
        <f t="shared" si="205"/>
        <v>10.3118803960661</v>
      </c>
      <c r="BM196" s="31">
        <f t="shared" si="206"/>
        <v>72.0937602647543</v>
      </c>
      <c r="BO196">
        <f t="shared" si="207"/>
        <v>0</v>
      </c>
      <c r="BP196">
        <f t="shared" si="208"/>
        <v>0</v>
      </c>
    </row>
    <row r="197" spans="14:68">
      <c r="N197" s="7">
        <v>79</v>
      </c>
      <c r="O197" s="18">
        <f t="shared" si="211"/>
        <v>616.595001861483</v>
      </c>
      <c r="P197" s="86" t="str">
        <f t="shared" si="159"/>
        <v>75</v>
      </c>
      <c r="Q197" s="4" t="str">
        <f t="shared" si="160"/>
        <v>1+6,32782840508818i</v>
      </c>
      <c r="R197" s="4">
        <f t="shared" si="171"/>
        <v>6.40635718050756</v>
      </c>
      <c r="S197" s="4">
        <f t="shared" si="172"/>
        <v>1.41406043249941</v>
      </c>
      <c r="T197" s="4" t="str">
        <f t="shared" si="161"/>
        <v>1+0,0607471526888466i</v>
      </c>
      <c r="U197" s="4">
        <f t="shared" si="173"/>
        <v>1.00184340920116</v>
      </c>
      <c r="V197" s="4">
        <f t="shared" si="174"/>
        <v>0.0606725943183385</v>
      </c>
      <c r="W197" t="str">
        <f t="shared" si="162"/>
        <v>1-0,0318651358970512i</v>
      </c>
      <c r="X197" s="4">
        <f t="shared" si="175"/>
        <v>1.00050756463194</v>
      </c>
      <c r="Y197" s="4">
        <f t="shared" si="176"/>
        <v>-0.0318543573159135</v>
      </c>
      <c r="Z197" t="str">
        <f t="shared" si="163"/>
        <v>0,999996896413091+0,00999933933850274i</v>
      </c>
      <c r="AA197" s="4">
        <f t="shared" si="177"/>
        <v>1.00004688871223</v>
      </c>
      <c r="AB197" s="4">
        <f t="shared" si="178"/>
        <v>0.00999903712203546</v>
      </c>
      <c r="AC197" s="67" t="str">
        <f t="shared" si="179"/>
        <v>2,04941691907746-11,5537488611088i</v>
      </c>
      <c r="AD197" s="68">
        <f t="shared" si="180"/>
        <v>21.3889994743168</v>
      </c>
      <c r="AE197" s="31">
        <f t="shared" si="181"/>
        <v>-79.9414340317006</v>
      </c>
      <c r="AF197" s="32" t="str">
        <f t="shared" si="182"/>
        <v>249,914648392112</v>
      </c>
      <c r="AG197" s="32" t="str">
        <f t="shared" si="164"/>
        <v>1+4,06788968898526i</v>
      </c>
      <c r="AH197" s="32">
        <f t="shared" si="183"/>
        <v>4.1890006590776</v>
      </c>
      <c r="AI197" s="32">
        <f t="shared" si="184"/>
        <v>1.32974836501948</v>
      </c>
      <c r="AJ197" s="32" t="str">
        <f t="shared" si="165"/>
        <v>1+0,0607471526888466i</v>
      </c>
      <c r="AK197" s="32">
        <f t="shared" si="185"/>
        <v>1.00184340920116</v>
      </c>
      <c r="AL197" s="32">
        <f t="shared" si="186"/>
        <v>0.0606725943183385</v>
      </c>
      <c r="AM197" s="32" t="str">
        <f t="shared" si="166"/>
        <v>1-0,00614745574795775i</v>
      </c>
      <c r="AN197" s="32">
        <f t="shared" si="187"/>
        <v>1.00001889542757</v>
      </c>
      <c r="AO197" s="32">
        <f t="shared" si="188"/>
        <v>-0.0061473783097788</v>
      </c>
      <c r="AP197" s="30" t="str">
        <f t="shared" si="189"/>
        <v>17,4105406323982-57,1788946548933i</v>
      </c>
      <c r="AQ197" s="32">
        <f t="shared" si="190"/>
        <v>35.5297867057397</v>
      </c>
      <c r="AR197" s="31">
        <f t="shared" si="191"/>
        <v>-73.0649043757084</v>
      </c>
      <c r="AS197" t="str">
        <f t="shared" si="167"/>
        <v>-0,000100699300699301</v>
      </c>
      <c r="AT197" t="str">
        <f t="shared" si="168"/>
        <v>0,000870528393442846i</v>
      </c>
      <c r="AU197">
        <f t="shared" si="192"/>
        <v>0.000870528393442846</v>
      </c>
      <c r="AV197">
        <f t="shared" si="193"/>
        <v>1.5707963267949</v>
      </c>
      <c r="AW197" t="str">
        <f t="shared" si="169"/>
        <v>1+0,0445694570370098i</v>
      </c>
      <c r="AX197">
        <f t="shared" si="194"/>
        <v>1.00099272549833</v>
      </c>
      <c r="AY197">
        <f t="shared" si="195"/>
        <v>0.0445399806953478</v>
      </c>
      <c r="AZ197" t="str">
        <f t="shared" si="170"/>
        <v>1+2,13079936089704i</v>
      </c>
      <c r="BA197">
        <f t="shared" si="196"/>
        <v>2.35378544400275</v>
      </c>
      <c r="BB197">
        <f t="shared" si="197"/>
        <v>1.1320028417811</v>
      </c>
      <c r="BC197" s="30" t="str">
        <f t="shared" si="198"/>
        <v>-0,240848439846139+0,126410551116342i</v>
      </c>
      <c r="BD197" s="32">
        <f t="shared" si="199"/>
        <v>-11.3084106937077</v>
      </c>
      <c r="BE197" s="31">
        <f t="shared" si="200"/>
        <v>152.307032317435</v>
      </c>
      <c r="BF197" s="30" t="str">
        <f t="shared" si="201"/>
        <v>0,966916893438485+3,0417703097799i</v>
      </c>
      <c r="BG197" s="68">
        <f t="shared" si="202"/>
        <v>10.0805887806091</v>
      </c>
      <c r="BH197" s="31">
        <f t="shared" si="203"/>
        <v>72.365598285734</v>
      </c>
      <c r="BI197" s="30" t="str">
        <f t="shared" si="209"/>
        <v>3,03471403735741+15,9723236063327i</v>
      </c>
      <c r="BJ197" s="68">
        <f t="shared" si="204"/>
        <v>24.221376012032</v>
      </c>
      <c r="BK197" s="31">
        <f t="shared" si="210"/>
        <v>79.2421279417262</v>
      </c>
      <c r="BL197" s="32">
        <f t="shared" si="205"/>
        <v>10.0805887806091</v>
      </c>
      <c r="BM197" s="31">
        <f t="shared" si="206"/>
        <v>72.365598285734</v>
      </c>
      <c r="BO197">
        <f t="shared" si="207"/>
        <v>0</v>
      </c>
      <c r="BP197">
        <f t="shared" si="208"/>
        <v>0</v>
      </c>
    </row>
    <row r="198" spans="14:68">
      <c r="N198" s="7">
        <v>80</v>
      </c>
      <c r="O198" s="18">
        <f t="shared" si="211"/>
        <v>630.957344480193</v>
      </c>
      <c r="P198" s="86" t="str">
        <f t="shared" si="159"/>
        <v>75</v>
      </c>
      <c r="Q198" s="4" t="str">
        <f t="shared" si="160"/>
        <v>1+6,47522246328183i</v>
      </c>
      <c r="R198" s="4">
        <f t="shared" si="171"/>
        <v>6.55198488619972</v>
      </c>
      <c r="S198" s="4">
        <f t="shared" si="172"/>
        <v>1.41757196614007</v>
      </c>
      <c r="T198" s="4" t="str">
        <f t="shared" si="161"/>
        <v>1+0,0621621356475056i</v>
      </c>
      <c r="U198" s="4">
        <f t="shared" si="173"/>
        <v>1.00193020271287</v>
      </c>
      <c r="V198" s="4">
        <f t="shared" si="174"/>
        <v>0.0620822532242008</v>
      </c>
      <c r="W198" t="str">
        <f t="shared" si="162"/>
        <v>1-0,0326073702615264i</v>
      </c>
      <c r="X198" s="4">
        <f t="shared" si="175"/>
        <v>1.00053147906269</v>
      </c>
      <c r="Y198" s="4">
        <f t="shared" si="176"/>
        <v>-0.0325958211350749</v>
      </c>
      <c r="Z198" t="str">
        <f t="shared" si="163"/>
        <v>0,999996750145546+0,0102322538725271i</v>
      </c>
      <c r="AA198" s="4">
        <f t="shared" si="177"/>
        <v>1.00004909845515</v>
      </c>
      <c r="AB198" s="4">
        <f t="shared" si="178"/>
        <v>0.0102319300426058</v>
      </c>
      <c r="AC198" s="67" t="str">
        <f t="shared" si="179"/>
        <v>1,96931740126702-11,3042847713012i</v>
      </c>
      <c r="AD198" s="68">
        <f t="shared" si="180"/>
        <v>21.1947055859247</v>
      </c>
      <c r="AE198" s="31">
        <f t="shared" si="181"/>
        <v>-80.1176891119963</v>
      </c>
      <c r="AF198" s="32" t="str">
        <f t="shared" si="182"/>
        <v>249,914648392112</v>
      </c>
      <c r="AG198" s="32" t="str">
        <f t="shared" si="164"/>
        <v>1+4,16264301210975i</v>
      </c>
      <c r="AH198" s="32">
        <f t="shared" si="183"/>
        <v>4.28107426311039</v>
      </c>
      <c r="AI198" s="32">
        <f t="shared" si="184"/>
        <v>1.33503200576515</v>
      </c>
      <c r="AJ198" s="32" t="str">
        <f t="shared" si="165"/>
        <v>1+0,0621621356475056i</v>
      </c>
      <c r="AK198" s="32">
        <f t="shared" si="185"/>
        <v>1.00193020271287</v>
      </c>
      <c r="AL198" s="32">
        <f t="shared" si="186"/>
        <v>0.0620822532242008</v>
      </c>
      <c r="AM198" s="32" t="str">
        <f t="shared" si="166"/>
        <v>1-0,0062906483872412i</v>
      </c>
      <c r="AN198" s="32">
        <f t="shared" si="187"/>
        <v>1.00001978593282</v>
      </c>
      <c r="AO198" s="32">
        <f t="shared" si="188"/>
        <v>-0.00629056541082616</v>
      </c>
      <c r="AP198" s="30" t="str">
        <f t="shared" si="189"/>
        <v>16,8126673211016-56,0220290453163i</v>
      </c>
      <c r="AQ198" s="32">
        <f t="shared" si="190"/>
        <v>35.3417002426309</v>
      </c>
      <c r="AR198" s="31">
        <f t="shared" si="191"/>
        <v>-73.2950712016103</v>
      </c>
      <c r="AS198" t="str">
        <f t="shared" si="167"/>
        <v>-0,000100699300699301</v>
      </c>
      <c r="AT198" t="str">
        <f t="shared" si="168"/>
        <v>0,000890805604591486i</v>
      </c>
      <c r="AU198">
        <f t="shared" si="192"/>
        <v>0.000890805604591486</v>
      </c>
      <c r="AV198">
        <f t="shared" si="193"/>
        <v>1.5707963267949</v>
      </c>
      <c r="AW198" t="str">
        <f t="shared" si="169"/>
        <v>1+0,0456076130557302i</v>
      </c>
      <c r="AX198">
        <f t="shared" si="194"/>
        <v>1.00103948691779</v>
      </c>
      <c r="AY198">
        <f t="shared" si="195"/>
        <v>0.0455760303576809</v>
      </c>
      <c r="AZ198" t="str">
        <f t="shared" si="170"/>
        <v>1+2,18043205396225i</v>
      </c>
      <c r="BA198">
        <f t="shared" si="196"/>
        <v>2.39880885898523</v>
      </c>
      <c r="BB198">
        <f t="shared" si="197"/>
        <v>1.14079328791281</v>
      </c>
      <c r="BC198" s="30" t="str">
        <f t="shared" si="198"/>
        <v>-0,2408259389318+0,124026454408677i</v>
      </c>
      <c r="BD198" s="32">
        <f t="shared" si="199"/>
        <v>-11.3442410211121</v>
      </c>
      <c r="BE198" s="31">
        <f t="shared" si="200"/>
        <v>152.751326507801</v>
      </c>
      <c r="BF198" s="30" t="str">
        <f t="shared" si="201"/>
        <v>0,927767647595628+2,96661244888552i</v>
      </c>
      <c r="BG198" s="68">
        <f t="shared" si="202"/>
        <v>9.85046456481257</v>
      </c>
      <c r="BH198" s="31">
        <f t="shared" si="203"/>
        <v>72.6336373958052</v>
      </c>
      <c r="BI198" s="30" t="str">
        <f t="shared" si="209"/>
        <v>2,89928723771822+15,5767732626917i</v>
      </c>
      <c r="BJ198" s="68">
        <f t="shared" si="204"/>
        <v>23.9974592215188</v>
      </c>
      <c r="BK198" s="31">
        <f t="shared" si="210"/>
        <v>79.4562553061911</v>
      </c>
      <c r="BL198" s="32">
        <f t="shared" si="205"/>
        <v>9.85046456481257</v>
      </c>
      <c r="BM198" s="31">
        <f t="shared" si="206"/>
        <v>72.6336373958052</v>
      </c>
      <c r="BO198">
        <f t="shared" si="207"/>
        <v>0</v>
      </c>
      <c r="BP198">
        <f t="shared" si="208"/>
        <v>0</v>
      </c>
    </row>
    <row r="199" spans="14:68">
      <c r="N199" s="7">
        <v>81</v>
      </c>
      <c r="O199" s="18">
        <f t="shared" si="211"/>
        <v>645.654229034656</v>
      </c>
      <c r="P199" s="86" t="str">
        <f t="shared" si="159"/>
        <v>75</v>
      </c>
      <c r="Q199" s="4" t="str">
        <f t="shared" si="160"/>
        <v>1+6,62604977013522i</v>
      </c>
      <c r="R199" s="4">
        <f t="shared" si="171"/>
        <v>6.70108465521135</v>
      </c>
      <c r="S199" s="4">
        <f t="shared" si="172"/>
        <v>1.42100725166352</v>
      </c>
      <c r="T199" s="4" t="str">
        <f t="shared" si="161"/>
        <v>1+0,0636100777932982i</v>
      </c>
      <c r="U199" s="4">
        <f t="shared" si="173"/>
        <v>1.00202107861904</v>
      </c>
      <c r="V199" s="4">
        <f t="shared" si="174"/>
        <v>0.063524491556258</v>
      </c>
      <c r="W199" t="str">
        <f t="shared" si="162"/>
        <v>1-0,0333668934853238i</v>
      </c>
      <c r="X199" s="4">
        <f t="shared" si="175"/>
        <v>1.00055651993321</v>
      </c>
      <c r="Y199" s="4">
        <f t="shared" si="176"/>
        <v>-0.0333545187450942</v>
      </c>
      <c r="Z199" t="str">
        <f t="shared" si="163"/>
        <v>0,999996596984625+0,0104705936829946i</v>
      </c>
      <c r="AA199" s="4">
        <f t="shared" si="177"/>
        <v>1.00005141233484</v>
      </c>
      <c r="AB199" s="4">
        <f t="shared" si="178"/>
        <v>0.0104702466939446</v>
      </c>
      <c r="AC199" s="67" t="str">
        <f t="shared" si="179"/>
        <v>1,89265753701115-11,0597255239848i</v>
      </c>
      <c r="AD199" s="68">
        <f t="shared" si="180"/>
        <v>21.0002463046279</v>
      </c>
      <c r="AE199" s="31">
        <f t="shared" si="181"/>
        <v>-80.2890070137241</v>
      </c>
      <c r="AF199" s="32" t="str">
        <f t="shared" si="182"/>
        <v>249,914648392112</v>
      </c>
      <c r="AG199" s="32" t="str">
        <f t="shared" si="164"/>
        <v>1+4,25960342365835i</v>
      </c>
      <c r="AH199" s="32">
        <f t="shared" si="183"/>
        <v>4.37541098947767</v>
      </c>
      <c r="AI199" s="32">
        <f t="shared" si="184"/>
        <v>1.34020836936824</v>
      </c>
      <c r="AJ199" s="32" t="str">
        <f t="shared" si="165"/>
        <v>1+0,0636100777932982i</v>
      </c>
      <c r="AK199" s="32">
        <f t="shared" si="185"/>
        <v>1.00202107861904</v>
      </c>
      <c r="AL199" s="32">
        <f t="shared" si="186"/>
        <v>0.063524491556258</v>
      </c>
      <c r="AM199" s="32" t="str">
        <f t="shared" si="166"/>
        <v>1-0,00643717641156615i</v>
      </c>
      <c r="AN199" s="32">
        <f t="shared" si="187"/>
        <v>1.00002071840545</v>
      </c>
      <c r="AO199" s="32">
        <f t="shared" si="188"/>
        <v>-0.00643708750083504</v>
      </c>
      <c r="AP199" s="30" t="str">
        <f t="shared" si="189"/>
        <v>16,238825338808-54,8826104630039i</v>
      </c>
      <c r="AQ199" s="32">
        <f t="shared" si="190"/>
        <v>35.1531742890287</v>
      </c>
      <c r="AR199" s="31">
        <f t="shared" si="191"/>
        <v>-73.5174159171763</v>
      </c>
      <c r="AS199" t="str">
        <f t="shared" si="167"/>
        <v>-0,000100699300699301</v>
      </c>
      <c r="AT199" t="str">
        <f t="shared" si="168"/>
        <v>0,000911555132662889i</v>
      </c>
      <c r="AU199">
        <f t="shared" si="192"/>
        <v>0.000911555132662889</v>
      </c>
      <c r="AV199">
        <f t="shared" si="193"/>
        <v>1.5707963267949</v>
      </c>
      <c r="AW199" t="str">
        <f t="shared" si="169"/>
        <v>1+0,0466699508345809i</v>
      </c>
      <c r="AX199">
        <f t="shared" si="194"/>
        <v>1.00108844979397</v>
      </c>
      <c r="AY199">
        <f t="shared" si="195"/>
        <v>0.046636111350833</v>
      </c>
      <c r="AZ199" t="str">
        <f t="shared" si="170"/>
        <v>1+2,2312208409639i</v>
      </c>
      <c r="BA199">
        <f t="shared" si="196"/>
        <v>2.44506573350322</v>
      </c>
      <c r="BB199">
        <f t="shared" si="197"/>
        <v>1.14945267362907</v>
      </c>
      <c r="BC199" s="30" t="str">
        <f t="shared" si="198"/>
        <v>-0,240802382087703+0,121708021625603i</v>
      </c>
      <c r="BD199" s="32">
        <f t="shared" si="199"/>
        <v>-11.3787679512186</v>
      </c>
      <c r="BE199" s="31">
        <f t="shared" si="200"/>
        <v>153.186734595669</v>
      </c>
      <c r="BF199" s="30" t="str">
        <f t="shared" si="201"/>
        <v>0,890300869857846+2,89355985585612i</v>
      </c>
      <c r="BG199" s="68">
        <f t="shared" si="202"/>
        <v>9.62147835340928</v>
      </c>
      <c r="BH199" s="31">
        <f t="shared" si="203"/>
        <v>72.8977275819452</v>
      </c>
      <c r="BI199" s="30" t="str">
        <f t="shared" si="209"/>
        <v>2,76930611720971+15,1922586401929i</v>
      </c>
      <c r="BJ199" s="68">
        <f t="shared" si="204"/>
        <v>23.7744063378101</v>
      </c>
      <c r="BK199" s="31">
        <f t="shared" si="210"/>
        <v>79.6693186784931</v>
      </c>
      <c r="BL199" s="32">
        <f t="shared" si="205"/>
        <v>9.62147835340928</v>
      </c>
      <c r="BM199" s="31">
        <f t="shared" si="206"/>
        <v>72.8977275819452</v>
      </c>
      <c r="BO199">
        <f t="shared" si="207"/>
        <v>0</v>
      </c>
      <c r="BP199">
        <f t="shared" si="208"/>
        <v>0</v>
      </c>
    </row>
    <row r="200" spans="14:68">
      <c r="N200" s="7">
        <v>82</v>
      </c>
      <c r="O200" s="18">
        <f t="shared" si="211"/>
        <v>660.693448007596</v>
      </c>
      <c r="P200" s="86" t="str">
        <f t="shared" si="159"/>
        <v>75</v>
      </c>
      <c r="Q200" s="4" t="str">
        <f t="shared" si="160"/>
        <v>1+6,78039029628287i</v>
      </c>
      <c r="R200" s="4">
        <f t="shared" si="171"/>
        <v>6.85373566530888</v>
      </c>
      <c r="S200" s="4">
        <f t="shared" si="172"/>
        <v>1.42436778601291</v>
      </c>
      <c r="T200" s="4" t="str">
        <f t="shared" si="161"/>
        <v>1+0,0650917468443157i</v>
      </c>
      <c r="U200" s="4">
        <f t="shared" si="173"/>
        <v>1.002116228542</v>
      </c>
      <c r="V200" s="4">
        <f t="shared" si="174"/>
        <v>0.0650000499953869</v>
      </c>
      <c r="W200" t="str">
        <f t="shared" si="162"/>
        <v>1-0,0341441082777102i</v>
      </c>
      <c r="X200" s="4">
        <f t="shared" si="175"/>
        <v>1.00058274027193</v>
      </c>
      <c r="Y200" s="4">
        <f t="shared" si="176"/>
        <v>-0.0341308489217051</v>
      </c>
      <c r="Z200" t="str">
        <f t="shared" si="163"/>
        <v>0,999996436605451+0,0107144851408275i</v>
      </c>
      <c r="AA200" s="4">
        <f t="shared" si="177"/>
        <v>1.0000538352586</v>
      </c>
      <c r="AB200" s="4">
        <f t="shared" si="178"/>
        <v>0.0107141133364415</v>
      </c>
      <c r="AC200" s="67" t="str">
        <f t="shared" si="179"/>
        <v>1,81929645106373-10,8200109194746i</v>
      </c>
      <c r="AD200" s="68">
        <f t="shared" si="180"/>
        <v>20.8056327109987</v>
      </c>
      <c r="AE200" s="31">
        <f t="shared" si="181"/>
        <v>-80.4554611498729</v>
      </c>
      <c r="AF200" s="32" t="str">
        <f t="shared" si="182"/>
        <v>249,914648392112</v>
      </c>
      <c r="AG200" s="32" t="str">
        <f t="shared" si="164"/>
        <v>1+4,3588223333247i</v>
      </c>
      <c r="AH200" s="32">
        <f t="shared" si="183"/>
        <v>4.47206128463041</v>
      </c>
      <c r="AI200" s="32">
        <f t="shared" si="184"/>
        <v>1.34527909032201</v>
      </c>
      <c r="AJ200" s="32" t="str">
        <f t="shared" si="165"/>
        <v>1+0,0650917468443157i</v>
      </c>
      <c r="AK200" s="32">
        <f t="shared" si="185"/>
        <v>1.002116228542</v>
      </c>
      <c r="AL200" s="32">
        <f t="shared" si="186"/>
        <v>0.0650000499953869</v>
      </c>
      <c r="AM200" s="32" t="str">
        <f t="shared" si="166"/>
        <v>1-0,00658711751203061i</v>
      </c>
      <c r="AN200" s="32">
        <f t="shared" si="187"/>
        <v>1.00002169482323</v>
      </c>
      <c r="AO200" s="32">
        <f t="shared" si="188"/>
        <v>-0.00658702224257741</v>
      </c>
      <c r="AP200" s="30" t="str">
        <f t="shared" si="189"/>
        <v>15,6881668377343-53,7607681123514i</v>
      </c>
      <c r="AQ200" s="32">
        <f t="shared" si="190"/>
        <v>34.9642296618967</v>
      </c>
      <c r="AR200" s="31">
        <f t="shared" si="191"/>
        <v>-73.7319941838332</v>
      </c>
      <c r="AS200" t="str">
        <f t="shared" si="167"/>
        <v>-0,000100699300699301</v>
      </c>
      <c r="AT200" t="str">
        <f t="shared" si="168"/>
        <v>0,000932787979331487i</v>
      </c>
      <c r="AU200">
        <f t="shared" si="192"/>
        <v>0.000932787979331487</v>
      </c>
      <c r="AV200">
        <f t="shared" si="193"/>
        <v>1.5707963267949</v>
      </c>
      <c r="AW200" t="str">
        <f t="shared" si="169"/>
        <v>1+0,047757033639114i</v>
      </c>
      <c r="AX200">
        <f t="shared" si="194"/>
        <v>1.00113971765284</v>
      </c>
      <c r="AY200">
        <f t="shared" si="195"/>
        <v>0.0477207762080447</v>
      </c>
      <c r="AZ200" t="str">
        <f t="shared" si="170"/>
        <v>1+2,28319265078913i</v>
      </c>
      <c r="BA200">
        <f t="shared" si="196"/>
        <v>2.49258273295341</v>
      </c>
      <c r="BB200">
        <f t="shared" si="197"/>
        <v>1.15798039462548</v>
      </c>
      <c r="BC200" s="30" t="str">
        <f t="shared" si="198"/>
        <v>-0,240777719982663+0,11945401662904i</v>
      </c>
      <c r="BD200" s="32">
        <f t="shared" si="199"/>
        <v>-11.4120319041431</v>
      </c>
      <c r="BE200" s="31">
        <f t="shared" si="200"/>
        <v>153.613190299124</v>
      </c>
      <c r="BF200" s="30" t="str">
        <f t="shared" si="201"/>
        <v>0,854447712841638+2,82253982789713i</v>
      </c>
      <c r="BG200" s="68">
        <f t="shared" si="202"/>
        <v>9.39360080685553</v>
      </c>
      <c r="BH200" s="31">
        <f t="shared" si="203"/>
        <v>73.1577291492513</v>
      </c>
      <c r="BI200" s="30" t="str">
        <f t="shared" si="209"/>
        <v>2,6445786461855+14,8184097129225i</v>
      </c>
      <c r="BJ200" s="68">
        <f t="shared" si="204"/>
        <v>23.5521977577536</v>
      </c>
      <c r="BK200" s="31">
        <f t="shared" si="210"/>
        <v>79.881196115291</v>
      </c>
      <c r="BL200" s="32">
        <f t="shared" si="205"/>
        <v>9.39360080685553</v>
      </c>
      <c r="BM200" s="31">
        <f t="shared" si="206"/>
        <v>73.1577291492513</v>
      </c>
      <c r="BO200">
        <f t="shared" si="207"/>
        <v>0</v>
      </c>
      <c r="BP200">
        <f t="shared" si="208"/>
        <v>0</v>
      </c>
    </row>
    <row r="201" spans="14:68">
      <c r="N201" s="7">
        <v>83</v>
      </c>
      <c r="O201" s="18">
        <f t="shared" si="211"/>
        <v>676.082975391982</v>
      </c>
      <c r="P201" s="86" t="str">
        <f t="shared" si="159"/>
        <v>75</v>
      </c>
      <c r="Q201" s="4" t="str">
        <f t="shared" si="160"/>
        <v>1+6,93832587511469i</v>
      </c>
      <c r="R201" s="4">
        <f t="shared" si="171"/>
        <v>7.01001896925294</v>
      </c>
      <c r="S201" s="4">
        <f t="shared" si="172"/>
        <v>1.42765504722148</v>
      </c>
      <c r="T201" s="4" t="str">
        <f t="shared" si="161"/>
        <v>1+0,0666079284011011i</v>
      </c>
      <c r="U201" s="4">
        <f t="shared" si="173"/>
        <v>1.00221585306055</v>
      </c>
      <c r="V201" s="4">
        <f t="shared" si="174"/>
        <v>0.0665096851861727</v>
      </c>
      <c r="W201" t="str">
        <f t="shared" si="162"/>
        <v>1-0,0349394267282561i</v>
      </c>
      <c r="X201" s="4">
        <f t="shared" si="175"/>
        <v>1.00061019560071</v>
      </c>
      <c r="Y201" s="4">
        <f t="shared" si="176"/>
        <v>-0.0349252195402215</v>
      </c>
      <c r="Z201" t="str">
        <f t="shared" si="163"/>
        <v>0,99999626866784+0,0109640575605051i</v>
      </c>
      <c r="AA201" s="4">
        <f t="shared" si="177"/>
        <v>1.00005637236497</v>
      </c>
      <c r="AB201" s="4">
        <f t="shared" si="178"/>
        <v>0.0109636591661392</v>
      </c>
      <c r="AC201" s="67" t="str">
        <f t="shared" si="179"/>
        <v>1,74909843484922-10,5850790266964i</v>
      </c>
      <c r="AD201" s="68">
        <f t="shared" si="180"/>
        <v>20.6108756118991</v>
      </c>
      <c r="AE201" s="31">
        <f t="shared" si="181"/>
        <v>-80.617123624892</v>
      </c>
      <c r="AF201" s="32" t="str">
        <f t="shared" si="182"/>
        <v>249,914648392112</v>
      </c>
      <c r="AG201" s="32" t="str">
        <f t="shared" si="164"/>
        <v>1+4,46035234828802i</v>
      </c>
      <c r="AH201" s="32">
        <f t="shared" si="183"/>
        <v>4.57107679555687</v>
      </c>
      <c r="AI201" s="32">
        <f t="shared" si="184"/>
        <v>1.35024581368923</v>
      </c>
      <c r="AJ201" s="32" t="str">
        <f t="shared" si="165"/>
        <v>1+0,0666079284011011i</v>
      </c>
      <c r="AK201" s="32">
        <f t="shared" si="185"/>
        <v>1.00221585306055</v>
      </c>
      <c r="AL201" s="32">
        <f t="shared" si="186"/>
        <v>0.0665096851861727</v>
      </c>
      <c r="AM201" s="32" t="str">
        <f t="shared" si="166"/>
        <v>1-0,00674055118939076i</v>
      </c>
      <c r="AN201" s="32">
        <f t="shared" si="187"/>
        <v>1.00002271725713</v>
      </c>
      <c r="AO201" s="32">
        <f t="shared" si="188"/>
        <v>-0.0067404491064577</v>
      </c>
      <c r="AP201" s="30" t="str">
        <f t="shared" si="189"/>
        <v>15,1598639075052-52,6566000535451i</v>
      </c>
      <c r="AQ201" s="32">
        <f t="shared" si="190"/>
        <v>34.774886575841</v>
      </c>
      <c r="AR201" s="31">
        <f t="shared" si="191"/>
        <v>-73.938861457512</v>
      </c>
      <c r="AS201" t="str">
        <f t="shared" si="167"/>
        <v>-0,000100699300699301</v>
      </c>
      <c r="AT201" t="str">
        <f t="shared" si="168"/>
        <v>0,000954515402533636i</v>
      </c>
      <c r="AU201">
        <f t="shared" si="192"/>
        <v>0.000954515402533636</v>
      </c>
      <c r="AV201">
        <f t="shared" si="193"/>
        <v>1.5707963267949</v>
      </c>
      <c r="AW201" t="str">
        <f t="shared" si="169"/>
        <v>1+0,0488694378550216i</v>
      </c>
      <c r="AX201">
        <f t="shared" si="194"/>
        <v>1.00119339887769</v>
      </c>
      <c r="AY201">
        <f t="shared" si="195"/>
        <v>0.0488305898183284</v>
      </c>
      <c r="AZ201" t="str">
        <f t="shared" si="170"/>
        <v>1+2,33637503957944i</v>
      </c>
      <c r="BA201">
        <f t="shared" si="196"/>
        <v>2.5413870869212</v>
      </c>
      <c r="BB201">
        <f t="shared" si="197"/>
        <v>1.16637601014209</v>
      </c>
      <c r="BC201" s="30" t="str">
        <f t="shared" si="198"/>
        <v>-0,240751901002171+0,117263236953423i</v>
      </c>
      <c r="BD201" s="32">
        <f t="shared" si="199"/>
        <v>-11.4440728957456</v>
      </c>
      <c r="BE201" s="31">
        <f t="shared" si="200"/>
        <v>154.030635998725</v>
      </c>
      <c r="BF201" s="30" t="str">
        <f t="shared" si="201"/>
        <v>0,820141856848337+2,75348284215595i</v>
      </c>
      <c r="BG201" s="68">
        <f t="shared" si="202"/>
        <v>9.1668027161535</v>
      </c>
      <c r="BH201" s="31">
        <f t="shared" si="203"/>
        <v>73.4135123738332</v>
      </c>
      <c r="BI201" s="30" t="str">
        <f t="shared" si="209"/>
        <v>2,52491731457441+14,4548712767694i</v>
      </c>
      <c r="BJ201" s="68">
        <f t="shared" si="204"/>
        <v>23.3308136800954</v>
      </c>
      <c r="BK201" s="31">
        <f t="shared" si="210"/>
        <v>80.0917745412132</v>
      </c>
      <c r="BL201" s="32">
        <f t="shared" si="205"/>
        <v>9.1668027161535</v>
      </c>
      <c r="BM201" s="31">
        <f t="shared" si="206"/>
        <v>73.4135123738332</v>
      </c>
      <c r="BO201">
        <f t="shared" si="207"/>
        <v>0</v>
      </c>
      <c r="BP201">
        <f t="shared" si="208"/>
        <v>0</v>
      </c>
    </row>
    <row r="202" spans="14:68">
      <c r="N202" s="7">
        <v>84</v>
      </c>
      <c r="O202" s="18">
        <f t="shared" si="211"/>
        <v>691.830970918937</v>
      </c>
      <c r="P202" s="86" t="str">
        <f t="shared" si="159"/>
        <v>75</v>
      </c>
      <c r="Q202" s="4" t="str">
        <f t="shared" si="160"/>
        <v>1+7,09994024616509i</v>
      </c>
      <c r="R202" s="4">
        <f t="shared" si="171"/>
        <v>7.17001753827107</v>
      </c>
      <c r="S202" s="4">
        <f t="shared" si="172"/>
        <v>1.43087049391134</v>
      </c>
      <c r="T202" s="4" t="str">
        <f t="shared" si="161"/>
        <v>1+0,0681594263631849i</v>
      </c>
      <c r="U202" s="4">
        <f t="shared" si="173"/>
        <v>1.00232016212494</v>
      </c>
      <c r="V202" s="4">
        <f t="shared" si="174"/>
        <v>0.0680541700180279</v>
      </c>
      <c r="W202" t="str">
        <f t="shared" si="162"/>
        <v>1-0,0357532705253314i</v>
      </c>
      <c r="X202" s="4">
        <f t="shared" si="175"/>
        <v>1.00063894405188</v>
      </c>
      <c r="Y202" s="4">
        <f t="shared" si="176"/>
        <v>-0.0357380477740295</v>
      </c>
      <c r="Z202" t="str">
        <f t="shared" si="163"/>
        <v>0,999996092815573+0,0112194432686276i</v>
      </c>
      <c r="AA202" s="4">
        <f t="shared" si="177"/>
        <v>1.00005902903462</v>
      </c>
      <c r="AB202" s="4">
        <f t="shared" si="178"/>
        <v>0.0112190163827328</v>
      </c>
      <c r="AC202" s="67" t="str">
        <f t="shared" si="179"/>
        <v>1,68193280950105-10,3548664024303i</v>
      </c>
      <c r="AD202" s="68">
        <f t="shared" si="180"/>
        <v>20.4159855585179</v>
      </c>
      <c r="AE202" s="31">
        <f t="shared" si="181"/>
        <v>-80.7740652051284</v>
      </c>
      <c r="AF202" s="32" t="str">
        <f t="shared" si="182"/>
        <v>249,914648392112</v>
      </c>
      <c r="AG202" s="32" t="str">
        <f t="shared" si="164"/>
        <v>1+4,56424730110613i</v>
      </c>
      <c r="AH202" s="32">
        <f t="shared" si="183"/>
        <v>4.67251039866736</v>
      </c>
      <c r="AI202" s="32">
        <f t="shared" si="184"/>
        <v>1.35511019228366</v>
      </c>
      <c r="AJ202" s="32" t="str">
        <f t="shared" si="165"/>
        <v>1+0,0681594263631849i</v>
      </c>
      <c r="AK202" s="32">
        <f t="shared" si="185"/>
        <v>1.00232016212494</v>
      </c>
      <c r="AL202" s="32">
        <f t="shared" si="186"/>
        <v>0.0680541700180279</v>
      </c>
      <c r="AM202" s="32" t="str">
        <f t="shared" si="166"/>
        <v>1-0,00689755879621327i</v>
      </c>
      <c r="AN202" s="32">
        <f t="shared" si="187"/>
        <v>1.00002378787574</v>
      </c>
      <c r="AO202" s="32">
        <f t="shared" si="188"/>
        <v>-0.00689744941252029</v>
      </c>
      <c r="AP202" s="30" t="str">
        <f t="shared" si="189"/>
        <v>14,6531090045839-51,5701751341422i</v>
      </c>
      <c r="AQ202" s="32">
        <f t="shared" si="190"/>
        <v>34.585164662986</v>
      </c>
      <c r="AR202" s="31">
        <f t="shared" si="191"/>
        <v>-74.1380728134589</v>
      </c>
      <c r="AS202" t="str">
        <f t="shared" si="167"/>
        <v>-0,000100699300699301</v>
      </c>
      <c r="AT202" t="str">
        <f t="shared" si="168"/>
        <v>0,000976748922436713i</v>
      </c>
      <c r="AU202">
        <f t="shared" si="192"/>
        <v>0.000976748922436713</v>
      </c>
      <c r="AV202">
        <f t="shared" si="193"/>
        <v>1.5707963267949</v>
      </c>
      <c r="AW202" t="str">
        <f t="shared" si="169"/>
        <v>1+0,0500077532937434i</v>
      </c>
      <c r="AX202">
        <f t="shared" si="194"/>
        <v>1.001249606936</v>
      </c>
      <c r="AY202">
        <f t="shared" si="195"/>
        <v>0.0499661296777982</v>
      </c>
      <c r="AZ202" t="str">
        <f t="shared" si="170"/>
        <v>1+2,3907962053413i</v>
      </c>
      <c r="BA202">
        <f t="shared" si="196"/>
        <v>2.59150660726041</v>
      </c>
      <c r="BB202">
        <f t="shared" si="197"/>
        <v>1.17463923638393</v>
      </c>
      <c r="BC202" s="30" t="str">
        <f t="shared" si="198"/>
        <v>-0,24072487114476+0,11513451313368i</v>
      </c>
      <c r="BD202" s="32">
        <f t="shared" si="199"/>
        <v>-11.4749304860049</v>
      </c>
      <c r="BE202" s="31">
        <f t="shared" si="200"/>
        <v>154.439022346128</v>
      </c>
      <c r="BF202" s="30" t="str">
        <f t="shared" si="201"/>
        <v>0,787319442966829+2,6863223955917i</v>
      </c>
      <c r="BG202" s="68">
        <f t="shared" si="202"/>
        <v>8.94105507251298</v>
      </c>
      <c r="BH202" s="31">
        <f t="shared" si="203"/>
        <v>73.6649571409994</v>
      </c>
      <c r="BI202" s="30" t="str">
        <f t="shared" si="209"/>
        <v>2,41013922928949+14,1013023352166i</v>
      </c>
      <c r="BJ202" s="68">
        <f t="shared" si="204"/>
        <v>23.1102341769811</v>
      </c>
      <c r="BK202" s="31">
        <f t="shared" si="210"/>
        <v>80.300949532669</v>
      </c>
      <c r="BL202" s="32">
        <f t="shared" si="205"/>
        <v>8.94105507251298</v>
      </c>
      <c r="BM202" s="31">
        <f t="shared" si="206"/>
        <v>73.6649571409994</v>
      </c>
      <c r="BO202">
        <f t="shared" si="207"/>
        <v>0</v>
      </c>
      <c r="BP202">
        <f t="shared" si="208"/>
        <v>0</v>
      </c>
    </row>
    <row r="203" spans="14:68">
      <c r="N203" s="7">
        <v>85</v>
      </c>
      <c r="O203" s="18">
        <f t="shared" si="211"/>
        <v>707.945784384139</v>
      </c>
      <c r="P203" s="86" t="str">
        <f t="shared" si="159"/>
        <v>75</v>
      </c>
      <c r="Q203" s="4" t="str">
        <f t="shared" si="160"/>
        <v>1+7,26531909951284i</v>
      </c>
      <c r="R203" s="4">
        <f t="shared" si="171"/>
        <v>7.33381630651778</v>
      </c>
      <c r="S203" s="4">
        <f t="shared" si="172"/>
        <v>1.43401556485732</v>
      </c>
      <c r="T203" s="4" t="str">
        <f t="shared" si="161"/>
        <v>1+0,0697470633553234i</v>
      </c>
      <c r="U203" s="4">
        <f t="shared" si="173"/>
        <v>1.00242937549071</v>
      </c>
      <c r="V203" s="4">
        <f t="shared" si="174"/>
        <v>0.0696342939065477</v>
      </c>
      <c r="W203" t="str">
        <f t="shared" si="162"/>
        <v>1-0,0365860711796897i</v>
      </c>
      <c r="X203" s="4">
        <f t="shared" si="175"/>
        <v>1.00066904649058</v>
      </c>
      <c r="Y203" s="4">
        <f t="shared" si="176"/>
        <v>-0.0365697602967452</v>
      </c>
      <c r="Z203" t="str">
        <f t="shared" si="163"/>
        <v>0,999995908675644+0,0114807776740782i</v>
      </c>
      <c r="AA203" s="4">
        <f t="shared" si="177"/>
        <v>1.00006181090172</v>
      </c>
      <c r="AB203" s="4">
        <f t="shared" si="178"/>
        <v>0.0114803202591259</v>
      </c>
      <c r="AC203" s="67" t="str">
        <f t="shared" si="179"/>
        <v>1,61767378754539-10,1293082964802i</v>
      </c>
      <c r="AD203" s="68">
        <f t="shared" si="180"/>
        <v>20.2209728642329</v>
      </c>
      <c r="AE203" s="31">
        <f t="shared" si="181"/>
        <v>-80.9263552932895</v>
      </c>
      <c r="AF203" s="32" t="str">
        <f t="shared" si="182"/>
        <v>249,914648392112</v>
      </c>
      <c r="AG203" s="32" t="str">
        <f t="shared" si="164"/>
        <v>1+4,67056227825825i</v>
      </c>
      <c r="AH203" s="32">
        <f t="shared" si="183"/>
        <v>4.77641622925483</v>
      </c>
      <c r="AI203" s="32">
        <f t="shared" si="184"/>
        <v>1.35987388402885</v>
      </c>
      <c r="AJ203" s="32" t="str">
        <f t="shared" si="165"/>
        <v>1+0,0697470633553234i</v>
      </c>
      <c r="AK203" s="32">
        <f t="shared" si="185"/>
        <v>1.00242937549071</v>
      </c>
      <c r="AL203" s="32">
        <f t="shared" si="186"/>
        <v>0.0696342939065477</v>
      </c>
      <c r="AM203" s="32" t="str">
        <f t="shared" si="166"/>
        <v>1-0,00705822358000952i</v>
      </c>
      <c r="AN203" s="32">
        <f t="shared" si="187"/>
        <v>1.00002490894982</v>
      </c>
      <c r="AO203" s="32">
        <f t="shared" si="188"/>
        <v>-0.00705810637342849</v>
      </c>
      <c r="AP203" s="30" t="str">
        <f t="shared" si="189"/>
        <v>14,167115277272-50,5015348552057i</v>
      </c>
      <c r="AQ203" s="32">
        <f t="shared" si="190"/>
        <v>34.3950829933113</v>
      </c>
      <c r="AR203" s="31">
        <f t="shared" si="191"/>
        <v>-74.329682781249</v>
      </c>
      <c r="AS203" t="str">
        <f t="shared" si="167"/>
        <v>-0,000100699300699301</v>
      </c>
      <c r="AT203" t="str">
        <f t="shared" si="168"/>
        <v>0,000999500327547267i</v>
      </c>
      <c r="AU203">
        <f t="shared" si="192"/>
        <v>0.000999500327547267</v>
      </c>
      <c r="AV203">
        <f t="shared" si="193"/>
        <v>1.5707963267949</v>
      </c>
      <c r="AW203" t="str">
        <f t="shared" si="169"/>
        <v>1+0,0511725835051925i</v>
      </c>
      <c r="AX203">
        <f t="shared" si="194"/>
        <v>1.00130846061671</v>
      </c>
      <c r="AY203">
        <f t="shared" si="195"/>
        <v>0.0511279861442822</v>
      </c>
      <c r="AZ203" t="str">
        <f t="shared" si="170"/>
        <v>1+2,44648500289718i</v>
      </c>
      <c r="BA203">
        <f t="shared" si="196"/>
        <v>2.64296970648564</v>
      </c>
      <c r="BB203">
        <f t="shared" si="197"/>
        <v>1.1827699398069</v>
      </c>
      <c r="BC203" s="30" t="str">
        <f t="shared" si="198"/>
        <v>-0,240696573913885+0,113066708048313i</v>
      </c>
      <c r="BD203" s="32">
        <f t="shared" si="199"/>
        <v>-11.5046437323016</v>
      </c>
      <c r="BE203" s="31">
        <f t="shared" si="200"/>
        <v>154.838307864807</v>
      </c>
      <c r="BF203" s="30" t="str">
        <f t="shared" si="201"/>
        <v>0,755919005517008+2,62099485293408i</v>
      </c>
      <c r="BG203" s="68">
        <f t="shared" si="202"/>
        <v>8.7163291319313</v>
      </c>
      <c r="BH203" s="31">
        <f t="shared" si="203"/>
        <v>73.9119525715178</v>
      </c>
      <c r="BI203" s="30" t="str">
        <f t="shared" si="209"/>
        <v>2,30006618798282+13,7573755039828i</v>
      </c>
      <c r="BJ203" s="68">
        <f t="shared" si="204"/>
        <v>22.8904392610097</v>
      </c>
      <c r="BK203" s="31">
        <f t="shared" si="210"/>
        <v>80.5086250835584</v>
      </c>
      <c r="BL203" s="32">
        <f t="shared" si="205"/>
        <v>8.7163291319313</v>
      </c>
      <c r="BM203" s="31">
        <f t="shared" si="206"/>
        <v>73.9119525715178</v>
      </c>
      <c r="BO203">
        <f t="shared" si="207"/>
        <v>0</v>
      </c>
      <c r="BP203">
        <f t="shared" si="208"/>
        <v>0</v>
      </c>
    </row>
    <row r="204" spans="14:68">
      <c r="N204" s="7">
        <v>86</v>
      </c>
      <c r="O204" s="18">
        <f t="shared" si="211"/>
        <v>724.43596007499</v>
      </c>
      <c r="P204" s="86" t="str">
        <f t="shared" si="159"/>
        <v>75</v>
      </c>
      <c r="Q204" s="4" t="str">
        <f t="shared" si="160"/>
        <v>1+7,43455012121499i</v>
      </c>
      <c r="R204" s="4">
        <f t="shared" si="171"/>
        <v>7.50150221654688</v>
      </c>
      <c r="S204" s="4">
        <f t="shared" si="172"/>
        <v>1.43709167861196</v>
      </c>
      <c r="T204" s="4" t="str">
        <f t="shared" si="161"/>
        <v>1+0,071371681163664i</v>
      </c>
      <c r="U204" s="4">
        <f t="shared" si="173"/>
        <v>1.00254372317228</v>
      </c>
      <c r="V204" s="4">
        <f t="shared" si="174"/>
        <v>0.0712508630746753</v>
      </c>
      <c r="W204" t="str">
        <f t="shared" si="162"/>
        <v>1-0,0374382702532612i</v>
      </c>
      <c r="X204" s="4">
        <f t="shared" si="175"/>
        <v>1.00070056664297</v>
      </c>
      <c r="Y204" s="4">
        <f t="shared" si="176"/>
        <v>-0.0374207934880602</v>
      </c>
      <c r="Z204" t="str">
        <f t="shared" si="163"/>
        <v>0,999995715857467+0,0117481993398175i</v>
      </c>
      <c r="AA204" s="4">
        <f t="shared" si="177"/>
        <v>1.00006472386592</v>
      </c>
      <c r="AB204" s="4">
        <f t="shared" si="178"/>
        <v>0.0117477092125769</v>
      </c>
      <c r="AC204" s="67" t="str">
        <f t="shared" si="179"/>
        <v>1,55620033384234-9,90833884341362i</v>
      </c>
      <c r="AD204" s="68">
        <f t="shared" si="180"/>
        <v>20.0258476223066</v>
      </c>
      <c r="AE204" s="31">
        <f t="shared" si="181"/>
        <v>-81.0740619067172</v>
      </c>
      <c r="AF204" s="32" t="str">
        <f t="shared" si="182"/>
        <v>249,914648392112</v>
      </c>
      <c r="AG204" s="32" t="str">
        <f t="shared" si="164"/>
        <v>1+4,77935364935249i</v>
      </c>
      <c r="AH204" s="32">
        <f t="shared" si="183"/>
        <v>4.88284971154949</v>
      </c>
      <c r="AI204" s="32">
        <f t="shared" si="184"/>
        <v>1.36453854948812</v>
      </c>
      <c r="AJ204" s="32" t="str">
        <f t="shared" si="165"/>
        <v>1+0,071371681163664i</v>
      </c>
      <c r="AK204" s="32">
        <f t="shared" si="185"/>
        <v>1.00254372317228</v>
      </c>
      <c r="AL204" s="32">
        <f t="shared" si="186"/>
        <v>0.0712508630746753</v>
      </c>
      <c r="AM204" s="32" t="str">
        <f t="shared" si="166"/>
        <v>1-0,0072226307273745i</v>
      </c>
      <c r="AN204" s="32">
        <f t="shared" si="187"/>
        <v>1.00002608285715</v>
      </c>
      <c r="AO204" s="32">
        <f t="shared" si="188"/>
        <v>-0.00722250513843714</v>
      </c>
      <c r="AP204" s="30" t="str">
        <f t="shared" si="189"/>
        <v>13,7011167950046-49,4506951699369i</v>
      </c>
      <c r="AQ204" s="32">
        <f t="shared" si="190"/>
        <v>34.2046600953723</v>
      </c>
      <c r="AR204" s="31">
        <f t="shared" si="191"/>
        <v>-74.5137451896729</v>
      </c>
      <c r="AS204" t="str">
        <f t="shared" si="167"/>
        <v>-0,000100699300699301</v>
      </c>
      <c r="AT204" t="str">
        <f t="shared" si="168"/>
        <v>0,00102278168096144i</v>
      </c>
      <c r="AU204">
        <f t="shared" si="192"/>
        <v>0.00102278168096144</v>
      </c>
      <c r="AV204">
        <f t="shared" si="193"/>
        <v>1.5707963267949</v>
      </c>
      <c r="AW204" t="str">
        <f t="shared" si="169"/>
        <v>1+0,0523645460977651i</v>
      </c>
      <c r="AX204">
        <f t="shared" si="194"/>
        <v>1.00137008427855</v>
      </c>
      <c r="AY204">
        <f t="shared" si="195"/>
        <v>0.0523167626951166</v>
      </c>
      <c r="AZ204" t="str">
        <f t="shared" si="170"/>
        <v>1+2,50347095918464i</v>
      </c>
      <c r="BA204">
        <f t="shared" si="196"/>
        <v>2.6958054164722</v>
      </c>
      <c r="BB204">
        <f t="shared" si="197"/>
        <v>1.19076813031101</v>
      </c>
      <c r="BC204" s="30" t="str">
        <f t="shared" si="198"/>
        <v>-0,240666950205095+0,111058716277044i</v>
      </c>
      <c r="BD204" s="32">
        <f t="shared" si="199"/>
        <v>-11.5332511475084</v>
      </c>
      <c r="BE204" s="31">
        <f t="shared" si="200"/>
        <v>155.228458545287</v>
      </c>
      <c r="BF204" s="30" t="str">
        <f t="shared" si="201"/>
        <v>0,725881404133501+2,55743930238947i</v>
      </c>
      <c r="BG204" s="68">
        <f t="shared" si="202"/>
        <v>8.49259647479822</v>
      </c>
      <c r="BH204" s="31">
        <f t="shared" si="203"/>
        <v>74.1543966385701</v>
      </c>
      <c r="BI204" s="30" t="str">
        <f t="shared" si="209"/>
        <v>2,19452473112305+13,4227764348856i</v>
      </c>
      <c r="BJ204" s="68">
        <f t="shared" si="204"/>
        <v>22.6714089478639</v>
      </c>
      <c r="BK204" s="31">
        <f t="shared" si="210"/>
        <v>80.7147133556143</v>
      </c>
      <c r="BL204" s="32">
        <f t="shared" si="205"/>
        <v>8.49259647479822</v>
      </c>
      <c r="BM204" s="31">
        <f t="shared" si="206"/>
        <v>74.1543966385701</v>
      </c>
      <c r="BO204">
        <f t="shared" si="207"/>
        <v>0</v>
      </c>
      <c r="BP204">
        <f t="shared" si="208"/>
        <v>0</v>
      </c>
    </row>
    <row r="205" spans="14:68">
      <c r="N205" s="7">
        <v>87</v>
      </c>
      <c r="O205" s="18">
        <f t="shared" si="211"/>
        <v>741.310241300918</v>
      </c>
      <c r="P205" s="86" t="str">
        <f t="shared" si="159"/>
        <v>75</v>
      </c>
      <c r="Q205" s="4" t="str">
        <f t="shared" si="160"/>
        <v>1+7,60772303979934i</v>
      </c>
      <c r="R205" s="4">
        <f t="shared" si="171"/>
        <v>7.67316426582239</v>
      </c>
      <c r="S205" s="4">
        <f t="shared" si="172"/>
        <v>1.44010023318754</v>
      </c>
      <c r="T205" s="4" t="str">
        <f t="shared" si="161"/>
        <v>1+0,0730341411820738i</v>
      </c>
      <c r="U205" s="4">
        <f t="shared" si="173"/>
        <v>1.00266344591703</v>
      </c>
      <c r="V205" s="4">
        <f t="shared" si="174"/>
        <v>0.0729047008332196</v>
      </c>
      <c r="W205" t="str">
        <f t="shared" si="162"/>
        <v>1-0,0383103195932753i</v>
      </c>
      <c r="X205" s="4">
        <f t="shared" si="175"/>
        <v>1.00073357123029</v>
      </c>
      <c r="Y205" s="4">
        <f t="shared" si="176"/>
        <v>-0.0382915936432854</v>
      </c>
      <c r="Z205" t="str">
        <f t="shared" si="163"/>
        <v>0,99999551395205+0,0120218500563526i</v>
      </c>
      <c r="AA205" s="4">
        <f t="shared" si="177"/>
        <v>1.00006777410484</v>
      </c>
      <c r="AB205" s="4">
        <f t="shared" si="178"/>
        <v>0.0120213248774723</v>
      </c>
      <c r="AC205" s="67" t="str">
        <f t="shared" si="179"/>
        <v>1,49739602633378-9,69189124150297i</v>
      </c>
      <c r="AD205" s="68">
        <f t="shared" si="180"/>
        <v>19.8306197234187</v>
      </c>
      <c r="AE205" s="31">
        <f t="shared" si="181"/>
        <v>-81.2172516592693</v>
      </c>
      <c r="AF205" s="32" t="str">
        <f t="shared" si="182"/>
        <v>249,914648392112</v>
      </c>
      <c r="AG205" s="32" t="str">
        <f t="shared" si="164"/>
        <v>1+4,89067909701386i</v>
      </c>
      <c r="AH205" s="32">
        <f t="shared" si="183"/>
        <v>4.99186758938659</v>
      </c>
      <c r="AI205" s="32">
        <f t="shared" si="184"/>
        <v>1.36910584955923</v>
      </c>
      <c r="AJ205" s="32" t="str">
        <f t="shared" si="165"/>
        <v>1+0,0730341411820738i</v>
      </c>
      <c r="AK205" s="32">
        <f t="shared" si="185"/>
        <v>1.00266344591703</v>
      </c>
      <c r="AL205" s="32">
        <f t="shared" si="186"/>
        <v>0.0729047008332196</v>
      </c>
      <c r="AM205" s="32" t="str">
        <f t="shared" si="166"/>
        <v>1-0,00739086740915398i</v>
      </c>
      <c r="AN205" s="32">
        <f t="shared" si="187"/>
        <v>1.00002731208755</v>
      </c>
      <c r="AO205" s="32">
        <f t="shared" si="188"/>
        <v>-0.00739073283838157</v>
      </c>
      <c r="AP205" s="30" t="str">
        <f t="shared" si="189"/>
        <v>13,2543686902745-48,417648213374i</v>
      </c>
      <c r="AQ205" s="32">
        <f t="shared" si="190"/>
        <v>34.0139139773377</v>
      </c>
      <c r="AR205" s="31">
        <f t="shared" si="191"/>
        <v>-74.6903130211577</v>
      </c>
      <c r="AS205" t="str">
        <f t="shared" si="167"/>
        <v>-0,000100699300699301</v>
      </c>
      <c r="AT205" t="str">
        <f t="shared" si="168"/>
        <v>0,00104660532676097i</v>
      </c>
      <c r="AU205">
        <f t="shared" si="192"/>
        <v>0.00104660532676097</v>
      </c>
      <c r="AV205">
        <f t="shared" si="193"/>
        <v>1.5707963267949</v>
      </c>
      <c r="AW205" t="str">
        <f t="shared" si="169"/>
        <v>1+0,0535842730658056i</v>
      </c>
      <c r="AX205">
        <f t="shared" si="194"/>
        <v>1.00143460810978</v>
      </c>
      <c r="AY205">
        <f t="shared" si="195"/>
        <v>0.053533076188004</v>
      </c>
      <c r="AZ205" t="str">
        <f t="shared" si="170"/>
        <v>1+2,56178428891202i</v>
      </c>
      <c r="BA205">
        <f t="shared" si="196"/>
        <v>2.75004340746041</v>
      </c>
      <c r="BB205">
        <f t="shared" si="197"/>
        <v>1.19863395437991</v>
      </c>
      <c r="BC205" s="30" t="str">
        <f t="shared" si="198"/>
        <v>-0,240635938188369+0,109109463472519i</v>
      </c>
      <c r="BD205" s="32">
        <f t="shared" si="199"/>
        <v>-11.5607906627613</v>
      </c>
      <c r="BE205" s="31">
        <f t="shared" si="200"/>
        <v>155.60944743712</v>
      </c>
      <c r="BF205" s="30" t="str">
        <f t="shared" si="201"/>
        <v>0,69714975575803+2,49559741875786i</v>
      </c>
      <c r="BG205" s="68">
        <f t="shared" si="202"/>
        <v>8.2698290606573</v>
      </c>
      <c r="BH205" s="31">
        <f t="shared" si="203"/>
        <v>74.3921957778512</v>
      </c>
      <c r="BI205" s="30" t="str">
        <f t="shared" si="209"/>
        <v>2,09334617428366+13,0972032591625i</v>
      </c>
      <c r="BJ205" s="68">
        <f t="shared" si="204"/>
        <v>22.4531233145764</v>
      </c>
      <c r="BK205" s="31">
        <f t="shared" si="210"/>
        <v>80.9191344159628</v>
      </c>
      <c r="BL205" s="32">
        <f t="shared" si="205"/>
        <v>8.2698290606573</v>
      </c>
      <c r="BM205" s="31">
        <f t="shared" si="206"/>
        <v>74.3921957778512</v>
      </c>
      <c r="BO205">
        <f t="shared" si="207"/>
        <v>0</v>
      </c>
      <c r="BP205">
        <f t="shared" si="208"/>
        <v>0</v>
      </c>
    </row>
    <row r="206" spans="14:68">
      <c r="N206" s="7">
        <v>88</v>
      </c>
      <c r="O206" s="18">
        <f t="shared" si="211"/>
        <v>758.577575029184</v>
      </c>
      <c r="P206" s="86" t="str">
        <f t="shared" si="159"/>
        <v>75</v>
      </c>
      <c r="Q206" s="4" t="str">
        <f t="shared" si="160"/>
        <v>1+7,7849296738395i</v>
      </c>
      <c r="R206" s="4">
        <f t="shared" si="171"/>
        <v>7.84889355429329</v>
      </c>
      <c r="S206" s="4">
        <f t="shared" si="172"/>
        <v>1.44304260579115</v>
      </c>
      <c r="T206" s="4" t="str">
        <f t="shared" si="161"/>
        <v>1+0,0747353248688593i</v>
      </c>
      <c r="U206" s="4">
        <f t="shared" si="173"/>
        <v>1.0027887957009</v>
      </c>
      <c r="V206" s="4">
        <f t="shared" si="174"/>
        <v>0.0745966478602131</v>
      </c>
      <c r="W206" t="str">
        <f t="shared" si="162"/>
        <v>1-0,0392026815718347i</v>
      </c>
      <c r="X206" s="4">
        <f t="shared" si="175"/>
        <v>1.00076813010928</v>
      </c>
      <c r="Y206" s="4">
        <f t="shared" si="176"/>
        <v>-0.0391826171866017</v>
      </c>
      <c r="Z206" t="str">
        <f t="shared" si="163"/>
        <v>0,999995302531124+0,0123018749169156i</v>
      </c>
      <c r="AA206" s="4">
        <f t="shared" si="177"/>
        <v>1.00007096808716</v>
      </c>
      <c r="AB206" s="4">
        <f t="shared" si="178"/>
        <v>0.012301312179761</v>
      </c>
      <c r="AC206" s="67" t="str">
        <f t="shared" si="179"/>
        <v>1,44114891708841-9,47989791949163i</v>
      </c>
      <c r="AD206" s="68">
        <f t="shared" si="180"/>
        <v>19.635298873047</v>
      </c>
      <c r="AE206" s="31">
        <f t="shared" si="181"/>
        <v>-81.3559897466219</v>
      </c>
      <c r="AF206" s="32" t="str">
        <f t="shared" si="182"/>
        <v>249,914648392112</v>
      </c>
      <c r="AG206" s="32" t="str">
        <f t="shared" si="164"/>
        <v>1+5,00459764746825i</v>
      </c>
      <c r="AH206" s="32">
        <f t="shared" si="183"/>
        <v>5.10352795750594</v>
      </c>
      <c r="AI206" s="32">
        <f t="shared" si="184"/>
        <v>1.37357744332739</v>
      </c>
      <c r="AJ206" s="32" t="str">
        <f t="shared" si="165"/>
        <v>1+0,0747353248688593i</v>
      </c>
      <c r="AK206" s="32">
        <f t="shared" si="185"/>
        <v>1.0027887957009</v>
      </c>
      <c r="AL206" s="32">
        <f t="shared" si="186"/>
        <v>0.0745966478602131</v>
      </c>
      <c r="AM206" s="32" t="str">
        <f t="shared" si="166"/>
        <v>1-0,00756302282666349i</v>
      </c>
      <c r="AN206" s="32">
        <f t="shared" si="187"/>
        <v>1.00002859924818</v>
      </c>
      <c r="AO206" s="32">
        <f t="shared" si="188"/>
        <v>-0.00756287863170566</v>
      </c>
      <c r="AP206" s="30" t="str">
        <f t="shared" si="189"/>
        <v>12,8261472211117-47,402363962293i</v>
      </c>
      <c r="AQ206" s="32">
        <f t="shared" si="190"/>
        <v>33.822862148284</v>
      </c>
      <c r="AR206" s="31">
        <f t="shared" si="191"/>
        <v>-74.8594382753822</v>
      </c>
      <c r="AS206" t="str">
        <f t="shared" si="167"/>
        <v>-0,000100699300699301</v>
      </c>
      <c r="AT206" t="str">
        <f t="shared" si="168"/>
        <v>0,00107098389655821i</v>
      </c>
      <c r="AU206">
        <f t="shared" si="192"/>
        <v>0.00107098389655821</v>
      </c>
      <c r="AV206">
        <f t="shared" si="193"/>
        <v>1.5707963267949</v>
      </c>
      <c r="AW206" t="str">
        <f t="shared" si="169"/>
        <v>1+0,0548324111246972i</v>
      </c>
      <c r="AX206">
        <f t="shared" si="194"/>
        <v>1.00150216839992</v>
      </c>
      <c r="AY206">
        <f t="shared" si="195"/>
        <v>0.0547775571248008</v>
      </c>
      <c r="AZ206" t="str">
        <f t="shared" si="170"/>
        <v>1+2,62145591057861i</v>
      </c>
      <c r="BA206">
        <f t="shared" si="196"/>
        <v>2.80571400736203</v>
      </c>
      <c r="BB206">
        <f t="shared" si="197"/>
        <v>1.20636768820298</v>
      </c>
      <c r="BC206" s="30" t="str">
        <f t="shared" si="198"/>
        <v>-0,240603473185375+0,107217905745551i</v>
      </c>
      <c r="BD206" s="32">
        <f t="shared" si="199"/>
        <v>-11.5872995947711</v>
      </c>
      <c r="BE206" s="31">
        <f t="shared" si="200"/>
        <v>155.981254239697</v>
      </c>
      <c r="BF206" s="30" t="str">
        <f t="shared" si="201"/>
        <v>0,669669366780685+2,43541333363018i</v>
      </c>
      <c r="BG206" s="68">
        <f t="shared" si="202"/>
        <v>8.04799927827592</v>
      </c>
      <c r="BH206" s="31">
        <f t="shared" si="203"/>
        <v>74.6252644930748</v>
      </c>
      <c r="BI206" s="30" t="str">
        <f t="shared" si="209"/>
        <v>1,99636662243901+12,7803660503567i</v>
      </c>
      <c r="BJ206" s="68">
        <f t="shared" si="204"/>
        <v>22.2355625535129</v>
      </c>
      <c r="BK206" s="31">
        <f t="shared" si="210"/>
        <v>81.1218159643146</v>
      </c>
      <c r="BL206" s="32">
        <f t="shared" si="205"/>
        <v>8.04799927827592</v>
      </c>
      <c r="BM206" s="31">
        <f t="shared" si="206"/>
        <v>74.6252644930748</v>
      </c>
      <c r="BO206">
        <f t="shared" si="207"/>
        <v>0</v>
      </c>
      <c r="BP206">
        <f t="shared" si="208"/>
        <v>0</v>
      </c>
    </row>
    <row r="207" spans="14:68">
      <c r="N207" s="7">
        <v>89</v>
      </c>
      <c r="O207" s="18">
        <f t="shared" si="211"/>
        <v>776.247116628692</v>
      </c>
      <c r="P207" s="86" t="str">
        <f t="shared" si="159"/>
        <v>75</v>
      </c>
      <c r="Q207" s="4" t="str">
        <f t="shared" si="160"/>
        <v>1+7,96626398063847i</v>
      </c>
      <c r="R207" s="4">
        <f t="shared" si="171"/>
        <v>8.02878333305974</v>
      </c>
      <c r="S207" s="4">
        <f t="shared" si="172"/>
        <v>1.4459201526094</v>
      </c>
      <c r="T207" s="4" t="str">
        <f t="shared" si="161"/>
        <v>1+0,0764761342141294i</v>
      </c>
      <c r="U207" s="4">
        <f t="shared" si="173"/>
        <v>1.00292003624633</v>
      </c>
      <c r="V207" s="4">
        <f t="shared" si="174"/>
        <v>0.0763275624785721</v>
      </c>
      <c r="W207" t="str">
        <f t="shared" si="162"/>
        <v>1-0,0401158293310723i</v>
      </c>
      <c r="X207" s="4">
        <f t="shared" si="175"/>
        <v>1.00080431641901</v>
      </c>
      <c r="Y207" s="4">
        <f t="shared" si="176"/>
        <v>-0.0400943308880248</v>
      </c>
      <c r="Z207" t="str">
        <f t="shared" si="163"/>
        <v>0,999995081146236+0,0125884223943942i</v>
      </c>
      <c r="AA207" s="4">
        <f t="shared" si="177"/>
        <v>1.00007431258634</v>
      </c>
      <c r="AB207" s="4">
        <f t="shared" si="178"/>
        <v>0.0125878194130864</v>
      </c>
      <c r="AC207" s="67" t="str">
        <f t="shared" si="179"/>
        <v>1,38735139407996-9,27229069179145i</v>
      </c>
      <c r="AD207" s="68">
        <f t="shared" si="180"/>
        <v>19.4398946087061</v>
      </c>
      <c r="AE207" s="31">
        <f t="shared" si="181"/>
        <v>-81.4903399348145</v>
      </c>
      <c r="AF207" s="32" t="str">
        <f t="shared" si="182"/>
        <v>249,914648392112</v>
      </c>
      <c r="AG207" s="32" t="str">
        <f t="shared" si="164"/>
        <v>1+5,12116970183901i</v>
      </c>
      <c r="AH207" s="32">
        <f t="shared" si="183"/>
        <v>5.2178902935031</v>
      </c>
      <c r="AI207" s="32">
        <f t="shared" si="184"/>
        <v>1.37795498606991</v>
      </c>
      <c r="AJ207" s="32" t="str">
        <f t="shared" si="165"/>
        <v>1+0,0764761342141294i</v>
      </c>
      <c r="AK207" s="32">
        <f t="shared" si="185"/>
        <v>1.00292003624633</v>
      </c>
      <c r="AL207" s="32">
        <f t="shared" si="186"/>
        <v>0.0763275624785721</v>
      </c>
      <c r="AM207" s="32" t="str">
        <f t="shared" si="166"/>
        <v>1-0,00773918825898413i</v>
      </c>
      <c r="AN207" s="32">
        <f t="shared" si="187"/>
        <v>1.00002994706904</v>
      </c>
      <c r="AO207" s="32">
        <f t="shared" si="188"/>
        <v>-0.00773903375155298</v>
      </c>
      <c r="AP207" s="30" t="str">
        <f t="shared" si="189"/>
        <v>12,4157497616279-46,404791824936i</v>
      </c>
      <c r="AQ207" s="32">
        <f t="shared" si="190"/>
        <v>33.6315216396893</v>
      </c>
      <c r="AR207" s="31">
        <f t="shared" si="191"/>
        <v>-75.0211718417437</v>
      </c>
      <c r="AS207" t="str">
        <f t="shared" si="167"/>
        <v>-0,000100699300699301</v>
      </c>
      <c r="AT207" t="str">
        <f t="shared" si="168"/>
        <v>0,00109593031619355i</v>
      </c>
      <c r="AU207">
        <f t="shared" si="192"/>
        <v>0.00109593031619355</v>
      </c>
      <c r="AV207">
        <f t="shared" si="193"/>
        <v>1.5707963267949</v>
      </c>
      <c r="AW207" t="str">
        <f t="shared" si="169"/>
        <v>1+0,05610962205376i</v>
      </c>
      <c r="AX207">
        <f t="shared" si="194"/>
        <v>1.001572907824</v>
      </c>
      <c r="AY207">
        <f t="shared" si="195"/>
        <v>0.0560508499180861</v>
      </c>
      <c r="AZ207" t="str">
        <f t="shared" si="170"/>
        <v>1+2,68251746286805i</v>
      </c>
      <c r="BA207">
        <f t="shared" si="196"/>
        <v>2.86284822136837</v>
      </c>
      <c r="BB207">
        <f t="shared" si="197"/>
        <v>1.21396973081314</v>
      </c>
      <c r="BC207" s="30" t="str">
        <f t="shared" si="198"/>
        <v>-0,240569487541518+0,10538302906336i</v>
      </c>
      <c r="BD207" s="32">
        <f t="shared" si="199"/>
        <v>-11.6128146175109</v>
      </c>
      <c r="BE207" s="31">
        <f t="shared" si="200"/>
        <v>156.343864893798</v>
      </c>
      <c r="BF207" s="30" t="str">
        <f t="shared" si="201"/>
        <v>0,643387665543154+2,37683351234368i</v>
      </c>
      <c r="BG207" s="68">
        <f t="shared" si="202"/>
        <v>7.82707999119524</v>
      </c>
      <c r="BH207" s="31">
        <f t="shared" si="203"/>
        <v>74.8535249589833</v>
      </c>
      <c r="BI207" s="30" t="str">
        <f t="shared" si="209"/>
        <v>1,90342696796785+12,4719863067687i</v>
      </c>
      <c r="BJ207" s="68">
        <f t="shared" si="204"/>
        <v>22.0187070221784</v>
      </c>
      <c r="BK207" s="31">
        <f t="shared" si="210"/>
        <v>81.3226930520541</v>
      </c>
      <c r="BL207" s="32">
        <f t="shared" si="205"/>
        <v>7.82707999119524</v>
      </c>
      <c r="BM207" s="31">
        <f t="shared" si="206"/>
        <v>74.8535249589833</v>
      </c>
      <c r="BO207">
        <f t="shared" si="207"/>
        <v>0</v>
      </c>
      <c r="BP207">
        <f t="shared" si="208"/>
        <v>0</v>
      </c>
    </row>
    <row r="208" spans="14:68">
      <c r="N208" s="7">
        <v>90</v>
      </c>
      <c r="O208" s="18">
        <f t="shared" si="211"/>
        <v>794.328234724282</v>
      </c>
      <c r="P208" s="86" t="str">
        <f t="shared" si="159"/>
        <v>75</v>
      </c>
      <c r="Q208" s="4" t="str">
        <f t="shared" si="160"/>
        <v>1+8,15182210604593i</v>
      </c>
      <c r="R208" s="4">
        <f t="shared" si="171"/>
        <v>8.21292905415718</v>
      </c>
      <c r="S208" s="4">
        <f t="shared" si="172"/>
        <v>1.44873420863903</v>
      </c>
      <c r="T208" s="4" t="str">
        <f t="shared" si="161"/>
        <v>1+0,078257492218041i</v>
      </c>
      <c r="U208" s="4">
        <f t="shared" si="173"/>
        <v>1.00305744356356</v>
      </c>
      <c r="V208" s="4">
        <f t="shared" si="174"/>
        <v>0.0780983209314583</v>
      </c>
      <c r="W208" t="str">
        <f t="shared" si="162"/>
        <v>1-0,041050247034017i</v>
      </c>
      <c r="X208" s="4">
        <f t="shared" si="175"/>
        <v>1.00084220673468</v>
      </c>
      <c r="Y208" s="4">
        <f t="shared" si="176"/>
        <v>-0.0410272120840784</v>
      </c>
      <c r="Z208" t="str">
        <f t="shared" si="163"/>
        <v>0,9999948493278+0,0128816444200537i</v>
      </c>
      <c r="AA208" s="4">
        <f t="shared" si="177"/>
        <v>1.00007781469498</v>
      </c>
      <c r="AB208" s="4">
        <f t="shared" si="178"/>
        <v>0.0128809983166538</v>
      </c>
      <c r="AC208" s="67" t="str">
        <f t="shared" si="179"/>
        <v>1,33590004408457-9,06900090270418i</v>
      </c>
      <c r="AD208" s="68">
        <f t="shared" si="180"/>
        <v>19.2444163170542</v>
      </c>
      <c r="AE208" s="31">
        <f t="shared" si="181"/>
        <v>-81.620364551876</v>
      </c>
      <c r="AF208" s="32" t="str">
        <f t="shared" si="182"/>
        <v>249,914648392112</v>
      </c>
      <c r="AG208" s="32" t="str">
        <f t="shared" si="164"/>
        <v>1+5,24045706817238i</v>
      </c>
      <c r="AH208" s="32">
        <f t="shared" si="183"/>
        <v>5.33501549045154</v>
      </c>
      <c r="AI208" s="32">
        <f t="shared" si="184"/>
        <v>1.38224012740606</v>
      </c>
      <c r="AJ208" s="32" t="str">
        <f t="shared" si="165"/>
        <v>1+0,078257492218041i</v>
      </c>
      <c r="AK208" s="32">
        <f t="shared" si="185"/>
        <v>1.00305744356356</v>
      </c>
      <c r="AL208" s="32">
        <f t="shared" si="186"/>
        <v>0.0780983209314583</v>
      </c>
      <c r="AM208" s="32" t="str">
        <f t="shared" si="166"/>
        <v>1-0,00791945711135995i</v>
      </c>
      <c r="AN208" s="32">
        <f t="shared" si="187"/>
        <v>1.00003135840879</v>
      </c>
      <c r="AO208" s="32">
        <f t="shared" si="188"/>
        <v>-0.00791929155394506</v>
      </c>
      <c r="AP208" s="30" t="str">
        <f t="shared" si="189"/>
        <v>12,0224947277144-45,4248621606377i</v>
      </c>
      <c r="AQ208" s="32">
        <f t="shared" si="190"/>
        <v>33.4399090270813</v>
      </c>
      <c r="AR208" s="31">
        <f t="shared" si="191"/>
        <v>-75.1755633803363</v>
      </c>
      <c r="AS208" t="str">
        <f t="shared" si="167"/>
        <v>-0,000100699300699301</v>
      </c>
      <c r="AT208" t="str">
        <f t="shared" si="168"/>
        <v>0,00112145781258889i</v>
      </c>
      <c r="AU208">
        <f t="shared" si="192"/>
        <v>0.00112145781258889</v>
      </c>
      <c r="AV208">
        <f t="shared" si="193"/>
        <v>1.5707963267949</v>
      </c>
      <c r="AW208" t="str">
        <f t="shared" si="169"/>
        <v>1+0,0574165830471342i</v>
      </c>
      <c r="AX208">
        <f t="shared" si="194"/>
        <v>1.00164697573986</v>
      </c>
      <c r="AY208">
        <f t="shared" si="195"/>
        <v>0.0573536131603414</v>
      </c>
      <c r="AZ208" t="str">
        <f t="shared" si="170"/>
        <v>1+2,74500132142363i</v>
      </c>
      <c r="BA208">
        <f t="shared" si="196"/>
        <v>2.92147775186077</v>
      </c>
      <c r="BB208">
        <f t="shared" si="197"/>
        <v>1.22144059727073</v>
      </c>
      <c r="BC208" s="30" t="str">
        <f t="shared" si="198"/>
        <v>-0,240533910492538+0,103603848660295i</v>
      </c>
      <c r="BD208" s="32">
        <f t="shared" si="199"/>
        <v>-11.6373717381099</v>
      </c>
      <c r="BE208" s="31">
        <f t="shared" si="200"/>
        <v>156.697271175638</v>
      </c>
      <c r="BF208" s="30" t="str">
        <f t="shared" si="201"/>
        <v>0,618254135393027+2,31980663738041i</v>
      </c>
      <c r="BG208" s="68">
        <f t="shared" si="202"/>
        <v>7.60704457894426</v>
      </c>
      <c r="BH208" s="31">
        <f t="shared" si="203"/>
        <v>75.0769066237617</v>
      </c>
      <c r="BI208" s="30" t="str">
        <f t="shared" si="209"/>
        <v>1,8143728739724+12,171796453372i</v>
      </c>
      <c r="BJ208" s="68">
        <f t="shared" si="204"/>
        <v>21.8025372889714</v>
      </c>
      <c r="BK208" s="31">
        <f t="shared" si="210"/>
        <v>81.5217077953014</v>
      </c>
      <c r="BL208" s="32">
        <f t="shared" si="205"/>
        <v>7.60704457894426</v>
      </c>
      <c r="BM208" s="31">
        <f t="shared" si="206"/>
        <v>75.0769066237617</v>
      </c>
      <c r="BO208">
        <f t="shared" si="207"/>
        <v>0</v>
      </c>
      <c r="BP208">
        <f t="shared" si="208"/>
        <v>0</v>
      </c>
    </row>
    <row r="209" spans="14:68">
      <c r="N209" s="7">
        <v>91</v>
      </c>
      <c r="O209" s="18">
        <f t="shared" si="211"/>
        <v>812.8305161641</v>
      </c>
      <c r="P209" s="86" t="str">
        <f t="shared" si="159"/>
        <v>75</v>
      </c>
      <c r="Q209" s="4" t="str">
        <f t="shared" si="160"/>
        <v>1+8,34170243543613i</v>
      </c>
      <c r="R209" s="4">
        <f t="shared" si="171"/>
        <v>8.40142842148649</v>
      </c>
      <c r="S209" s="4">
        <f t="shared" si="172"/>
        <v>1.45148608756037</v>
      </c>
      <c r="T209" s="4" t="str">
        <f t="shared" si="161"/>
        <v>1+0,0800803433801869i</v>
      </c>
      <c r="U209" s="4">
        <f t="shared" si="173"/>
        <v>1.00320130651624</v>
      </c>
      <c r="V209" s="4">
        <f t="shared" si="174"/>
        <v>0.0799098176547043</v>
      </c>
      <c r="W209" t="str">
        <f t="shared" si="162"/>
        <v>1-0,0420064301213034i</v>
      </c>
      <c r="X209" s="4">
        <f t="shared" si="175"/>
        <v>1.00088188122852</v>
      </c>
      <c r="Y209" s="4">
        <f t="shared" si="176"/>
        <v>-0.0419817489021696</v>
      </c>
      <c r="Z209" t="str">
        <f t="shared" si="163"/>
        <v>0,999994606584098+0,0131816964640934i</v>
      </c>
      <c r="AA209" s="4">
        <f t="shared" si="177"/>
        <v>1.00008148183983</v>
      </c>
      <c r="AB209" s="4">
        <f t="shared" si="178"/>
        <v>0.0131810041548702</v>
      </c>
      <c r="AC209" s="67" t="str">
        <f t="shared" si="179"/>
        <v>1,28669551703683-8,86995956024162i</v>
      </c>
      <c r="AD209" s="68">
        <f t="shared" si="180"/>
        <v>19.0488732508823</v>
      </c>
      <c r="AE209" s="31">
        <f t="shared" si="181"/>
        <v>-81.7461244823816</v>
      </c>
      <c r="AF209" s="32" t="str">
        <f t="shared" si="182"/>
        <v>249,914648392112</v>
      </c>
      <c r="AG209" s="32" t="str">
        <f t="shared" si="164"/>
        <v>1+5,36252299420894i</v>
      </c>
      <c r="AH209" s="32">
        <f t="shared" si="183"/>
        <v>5.45496589021596</v>
      </c>
      <c r="AI209" s="32">
        <f t="shared" si="184"/>
        <v>1.38643450958564</v>
      </c>
      <c r="AJ209" s="32" t="str">
        <f t="shared" si="165"/>
        <v>1+0,0800803433801869i</v>
      </c>
      <c r="AK209" s="32">
        <f t="shared" si="185"/>
        <v>1.00320130651624</v>
      </c>
      <c r="AL209" s="32">
        <f t="shared" si="186"/>
        <v>0.0799098176547043</v>
      </c>
      <c r="AM209" s="32" t="str">
        <f t="shared" si="166"/>
        <v>1-0,00810392496472262i</v>
      </c>
      <c r="AN209" s="32">
        <f t="shared" si="187"/>
        <v>1.00003283626081</v>
      </c>
      <c r="AO209" s="32">
        <f t="shared" si="188"/>
        <v>-0.00810374756707103</v>
      </c>
      <c r="AP209" s="30" t="str">
        <f t="shared" si="189"/>
        <v>11,6457214445644-44,4624877298043i</v>
      </c>
      <c r="AQ209" s="32">
        <f t="shared" si="190"/>
        <v>33.248040451794</v>
      </c>
      <c r="AR209" s="31">
        <f t="shared" si="191"/>
        <v>-75.3226612111052</v>
      </c>
      <c r="AS209" t="str">
        <f t="shared" si="167"/>
        <v>-0,000100699300699301</v>
      </c>
      <c r="AT209" t="str">
        <f t="shared" si="168"/>
        <v>0,00114757992076071i</v>
      </c>
      <c r="AU209">
        <f t="shared" si="192"/>
        <v>0.00114757992076071</v>
      </c>
      <c r="AV209">
        <f t="shared" si="193"/>
        <v>1.5707963267949</v>
      </c>
      <c r="AW209" t="str">
        <f t="shared" si="169"/>
        <v>1+0,0587539870728384i</v>
      </c>
      <c r="AX209">
        <f t="shared" si="194"/>
        <v>1.00172452849921</v>
      </c>
      <c r="AY209">
        <f t="shared" si="195"/>
        <v>0.0586865198955548</v>
      </c>
      <c r="AZ209" t="str">
        <f t="shared" si="170"/>
        <v>1+2,80894061601421i</v>
      </c>
      <c r="BA209">
        <f t="shared" si="196"/>
        <v>2.98163501862557</v>
      </c>
      <c r="BB209">
        <f t="shared" si="197"/>
        <v>1.22878091192079</v>
      </c>
      <c r="BC209" s="30" t="str">
        <f t="shared" si="198"/>
        <v>-0,24049666802547+0,101879408460494i</v>
      </c>
      <c r="BD209" s="32">
        <f t="shared" si="199"/>
        <v>-11.6610062767671</v>
      </c>
      <c r="BE209" s="31">
        <f t="shared" si="200"/>
        <v>157.041470294972</v>
      </c>
      <c r="BF209" s="30" t="str">
        <f t="shared" si="201"/>
        <v>0,594220248455253+2,26428349790325i</v>
      </c>
      <c r="BG209" s="68">
        <f t="shared" si="202"/>
        <v>7.38786697411518</v>
      </c>
      <c r="BH209" s="31">
        <f t="shared" si="203"/>
        <v>75.2953458125907</v>
      </c>
      <c r="BI209" s="30" t="str">
        <f t="shared" si="209"/>
        <v>1,72905474442393+11,8795393630092i</v>
      </c>
      <c r="BJ209" s="68">
        <f t="shared" si="204"/>
        <v>21.5870341750269</v>
      </c>
      <c r="BK209" s="31">
        <f t="shared" si="210"/>
        <v>81.7188090838671</v>
      </c>
      <c r="BL209" s="32">
        <f t="shared" si="205"/>
        <v>7.38786697411518</v>
      </c>
      <c r="BM209" s="31">
        <f t="shared" si="206"/>
        <v>75.2953458125907</v>
      </c>
      <c r="BO209">
        <f t="shared" si="207"/>
        <v>0</v>
      </c>
      <c r="BP209">
        <f t="shared" si="208"/>
        <v>0</v>
      </c>
    </row>
    <row r="210" spans="14:68">
      <c r="N210" s="7">
        <v>92</v>
      </c>
      <c r="O210" s="18">
        <f t="shared" si="211"/>
        <v>831.763771102671</v>
      </c>
      <c r="P210" s="86" t="str">
        <f t="shared" si="159"/>
        <v>75</v>
      </c>
      <c r="Q210" s="4" t="str">
        <f t="shared" si="160"/>
        <v>1+8,53600564587309i</v>
      </c>
      <c r="R210" s="4">
        <f t="shared" si="171"/>
        <v>8.59438144291823</v>
      </c>
      <c r="S210" s="4">
        <f t="shared" si="172"/>
        <v>1.45417708165033</v>
      </c>
      <c r="T210" s="4" t="str">
        <f t="shared" si="161"/>
        <v>1+0,0819456542003818i</v>
      </c>
      <c r="U210" s="4">
        <f t="shared" si="173"/>
        <v>1.00335192741247</v>
      </c>
      <c r="V210" s="4">
        <f t="shared" si="174"/>
        <v>0.0817629655456038</v>
      </c>
      <c r="W210" t="str">
        <f t="shared" si="162"/>
        <v>1-0,042984885573861i</v>
      </c>
      <c r="X210" s="4">
        <f t="shared" si="175"/>
        <v>1.00092342383811</v>
      </c>
      <c r="Y210" s="4">
        <f t="shared" si="176"/>
        <v>-0.0429584404886511</v>
      </c>
      <c r="Z210" t="str">
        <f t="shared" si="163"/>
        <v>0,999994352400237+0,0134887376180788i</v>
      </c>
      <c r="AA210" s="4">
        <f t="shared" si="177"/>
        <v>1.00008532179754</v>
      </c>
      <c r="AB210" s="4">
        <f t="shared" si="178"/>
        <v>0.0134879957987951</v>
      </c>
      <c r="AC210" s="67" t="str">
        <f t="shared" si="179"/>
        <v>1,23964239214142-8,67509746010179i</v>
      </c>
      <c r="AD210" s="68">
        <f t="shared" si="180"/>
        <v>18.8532745459997</v>
      </c>
      <c r="AE210" s="31">
        <f t="shared" si="181"/>
        <v>-81.8676791648027</v>
      </c>
      <c r="AF210" s="32" t="str">
        <f t="shared" si="182"/>
        <v>249,914648392112</v>
      </c>
      <c r="AG210" s="32" t="str">
        <f t="shared" si="164"/>
        <v>1+5,48743220091842i</v>
      </c>
      <c r="AH210" s="32">
        <f t="shared" si="183"/>
        <v>5.57780531747715</v>
      </c>
      <c r="AI210" s="32">
        <f t="shared" si="184"/>
        <v>1.3905397659096</v>
      </c>
      <c r="AJ210" s="32" t="str">
        <f t="shared" si="165"/>
        <v>1+0,0819456542003818i</v>
      </c>
      <c r="AK210" s="32">
        <f t="shared" si="185"/>
        <v>1.00335192741247</v>
      </c>
      <c r="AL210" s="32">
        <f t="shared" si="186"/>
        <v>0.0817629655456038</v>
      </c>
      <c r="AM210" s="32" t="str">
        <f t="shared" si="166"/>
        <v>1-0,00829268962636971i</v>
      </c>
      <c r="AN210" s="32">
        <f t="shared" si="187"/>
        <v>1.0000343837595</v>
      </c>
      <c r="AO210" s="32">
        <f t="shared" si="188"/>
        <v>-0.00829249954171431</v>
      </c>
      <c r="AP210" s="30" t="str">
        <f t="shared" si="189"/>
        <v>11,2847899622739-43,5175650750318i</v>
      </c>
      <c r="AQ210" s="32">
        <f t="shared" si="190"/>
        <v>33.0559316427977</v>
      </c>
      <c r="AR210" s="31">
        <f t="shared" si="191"/>
        <v>-75.4625122108473</v>
      </c>
      <c r="AS210" t="str">
        <f t="shared" si="167"/>
        <v>-0,000100699300699301</v>
      </c>
      <c r="AT210" t="str">
        <f t="shared" si="168"/>
        <v>0,00117431049099654i</v>
      </c>
      <c r="AU210">
        <f t="shared" si="192"/>
        <v>0.00117431049099654</v>
      </c>
      <c r="AV210">
        <f t="shared" si="193"/>
        <v>1.5707963267949</v>
      </c>
      <c r="AW210" t="str">
        <f t="shared" si="169"/>
        <v>1+0,0601225432401895i</v>
      </c>
      <c r="AX210">
        <f t="shared" si="194"/>
        <v>1.00180572977283</v>
      </c>
      <c r="AY210">
        <f t="shared" si="195"/>
        <v>0.0600502578930376</v>
      </c>
      <c r="AZ210" t="str">
        <f t="shared" si="170"/>
        <v>1+2,87436924810012i</v>
      </c>
      <c r="BA210">
        <f t="shared" si="196"/>
        <v>3.04335317937693</v>
      </c>
      <c r="BB210">
        <f t="shared" si="197"/>
        <v>1.23599140174844</v>
      </c>
      <c r="BC210" s="30" t="str">
        <f t="shared" si="198"/>
        <v>-0,24045768273377+0,100208780511908i</v>
      </c>
      <c r="BD210" s="32">
        <f t="shared" si="199"/>
        <v>-11.6837528504946</v>
      </c>
      <c r="BE210" s="31">
        <f t="shared" si="200"/>
        <v>157.376464498701</v>
      </c>
      <c r="BF210" s="30" t="str">
        <f t="shared" si="201"/>
        <v>0,571239400265878+2,21021688513305i</v>
      </c>
      <c r="BG210" s="68">
        <f t="shared" si="202"/>
        <v>7.16952169550509</v>
      </c>
      <c r="BH210" s="31">
        <f t="shared" si="203"/>
        <v>75.5087853338981</v>
      </c>
      <c r="BI210" s="30" t="str">
        <f t="shared" si="209"/>
        <v>1,64732768255085+11,5949678966107i</v>
      </c>
      <c r="BJ210" s="68">
        <f t="shared" si="204"/>
        <v>21.3721787923031</v>
      </c>
      <c r="BK210" s="31">
        <f t="shared" si="210"/>
        <v>81.9139522878535</v>
      </c>
      <c r="BL210" s="32">
        <f t="shared" si="205"/>
        <v>7.16952169550509</v>
      </c>
      <c r="BM210" s="31">
        <f t="shared" si="206"/>
        <v>75.5087853338981</v>
      </c>
      <c r="BO210">
        <f t="shared" si="207"/>
        <v>0</v>
      </c>
      <c r="BP210">
        <f t="shared" si="208"/>
        <v>0</v>
      </c>
    </row>
    <row r="211" spans="14:68">
      <c r="N211" s="7">
        <v>93</v>
      </c>
      <c r="O211" s="18">
        <f t="shared" si="211"/>
        <v>851.138038202378</v>
      </c>
      <c r="P211" s="86" t="str">
        <f t="shared" ref="P211:P274" si="212">COMPLEX(Adc,0)</f>
        <v>75</v>
      </c>
      <c r="Q211" s="4" t="str">
        <f t="shared" ref="Q211:Q274" si="213">IMSUM(COMPLEX(1,0),IMDIV(COMPLEX(0,2*PI()*O211),COMPLEX(wp_lf,0)))</f>
        <v>1+8,7348347594909i</v>
      </c>
      <c r="R211" s="4">
        <f t="shared" si="171"/>
        <v>8.79189048359967</v>
      </c>
      <c r="S211" s="4">
        <f t="shared" si="172"/>
        <v>1.4568084617321</v>
      </c>
      <c r="T211" s="4" t="str">
        <f t="shared" ref="T211:T274" si="214">IMSUM(COMPLEX(1,0),IMDIV(COMPLEX(0,2*PI()*O211),COMPLEX(wz_esr,0)))</f>
        <v>1+0,0838544136911127i</v>
      </c>
      <c r="U211" s="4">
        <f t="shared" si="173"/>
        <v>1.00350962262226</v>
      </c>
      <c r="V211" s="4">
        <f t="shared" si="174"/>
        <v>0.0836586962273156</v>
      </c>
      <c r="W211" t="str">
        <f t="shared" ref="W211:W274" si="215">IMSUB(COMPLEX(1,0),IMDIV(COMPLEX(0,2*PI()*O211),COMPLEX(wz_rhp,0)))</f>
        <v>1-0,0439861321817221i</v>
      </c>
      <c r="X211" s="4">
        <f t="shared" si="175"/>
        <v>1.00096692244265</v>
      </c>
      <c r="Y211" s="4">
        <f t="shared" si="176"/>
        <v>-0.043957797240548</v>
      </c>
      <c r="Z211" t="str">
        <f t="shared" ref="Z211:Z274" si="216">IMSUM(COMPLEX(1,0),IMDIV(COMPLEX(0,2*PI()*O211),COMPLEX(Q*(wsl/2),0)),IMDIV(IMPOWER(COMPLEX(0,2*PI()*O211),2),IMPOWER(COMPLEX(wsl/2,0),2)))</f>
        <v>0,999994086237061+0,0138029306792938i</v>
      </c>
      <c r="AA211" s="4">
        <f t="shared" si="177"/>
        <v>1.00008934271116</v>
      </c>
      <c r="AB211" s="4">
        <f t="shared" si="178"/>
        <v>0.0138021358094411</v>
      </c>
      <c r="AC211" s="67" t="str">
        <f t="shared" si="179"/>
        <v>1,1946490459981-8,48434530033906i</v>
      </c>
      <c r="AD211" s="68">
        <f t="shared" si="180"/>
        <v>18.6576292380293</v>
      </c>
      <c r="AE211" s="31">
        <f t="shared" si="181"/>
        <v>-81.9850865915255</v>
      </c>
      <c r="AF211" s="32" t="str">
        <f t="shared" si="182"/>
        <v>249,914648392112</v>
      </c>
      <c r="AG211" s="32" t="str">
        <f t="shared" ref="AG211:AG274" si="217">IMSUM(COMPLEX(1,0),IMDIV(COMPLEX(0,2*PI()*O211),COMPLEX(wp_lf_DCM,0)))</f>
        <v>1+5,61525091681558i</v>
      </c>
      <c r="AH211" s="32">
        <f t="shared" si="183"/>
        <v>5.70359911448887</v>
      </c>
      <c r="AI211" s="32">
        <f t="shared" si="184"/>
        <v>1.39455751927655</v>
      </c>
      <c r="AJ211" s="32" t="str">
        <f t="shared" ref="AJ211:AJ274" si="218">IMSUM(COMPLEX(1,0),IMDIV(COMPLEX(0,2*PI()*O211),COMPLEX(wz1_dcm,0)))</f>
        <v>1+0,0838544136911127i</v>
      </c>
      <c r="AK211" s="32">
        <f t="shared" si="185"/>
        <v>1.00350962262226</v>
      </c>
      <c r="AL211" s="32">
        <f t="shared" si="186"/>
        <v>0.0836586962273156</v>
      </c>
      <c r="AM211" s="32" t="str">
        <f t="shared" ref="AM211:AM274" si="219">IMSUB(COMPLEX(1,0),IMDIV(COMPLEX(0,2*PI()*O211),COMPLEX(wz2_dcm,0)))</f>
        <v>1-0,00848585118182344i</v>
      </c>
      <c r="AN211" s="32">
        <f t="shared" si="187"/>
        <v>1.00003600418699</v>
      </c>
      <c r="AO211" s="32">
        <f t="shared" si="188"/>
        <v>-0.0084856475028416</v>
      </c>
      <c r="AP211" s="30" t="str">
        <f t="shared" si="189"/>
        <v>10,9390808253671-42,5899758344347i</v>
      </c>
      <c r="AQ211" s="32">
        <f t="shared" si="190"/>
        <v>32.8635979385686</v>
      </c>
      <c r="AR211" s="31">
        <f t="shared" si="191"/>
        <v>-75.5951617177368</v>
      </c>
      <c r="AS211" t="str">
        <f t="shared" ref="AS211:AS274" si="220">COMPLEX(Adc_ea,0)</f>
        <v>-0,000100699300699301</v>
      </c>
      <c r="AT211" t="str">
        <f t="shared" ref="AT211:AT274" si="221">COMPLEX(0,2*PI()*O211*wp0_ea)</f>
        <v>0,00120166369619853i</v>
      </c>
      <c r="AU211">
        <f t="shared" si="192"/>
        <v>0.00120166369619853</v>
      </c>
      <c r="AV211">
        <f t="shared" si="193"/>
        <v>1.5707963267949</v>
      </c>
      <c r="AW211" t="str">
        <f t="shared" ref="AW211:AW274" si="222">IMSUM(COMPLEX(1,0),IMDIV(COMPLEX(0,2*PI()*O211),COMPLEX(wp1_ea,0)))</f>
        <v>1+0,0615229771757827i</v>
      </c>
      <c r="AX211">
        <f t="shared" si="194"/>
        <v>1.00189075089082</v>
      </c>
      <c r="AY211">
        <f t="shared" si="195"/>
        <v>0.0614455299232241</v>
      </c>
      <c r="AZ211" t="str">
        <f t="shared" ref="AZ211:AZ274" si="223">IMSUM(COMPLEX(1,0),IMDIV(COMPLEX(0,2*PI()*O211),COMPLEX(wz_ea,0)))</f>
        <v>1+2,94132190880816i</v>
      </c>
      <c r="BA211">
        <f t="shared" si="196"/>
        <v>3.10666615059212</v>
      </c>
      <c r="BB211">
        <f t="shared" si="197"/>
        <v>1.24307288985392</v>
      </c>
      <c r="BC211" s="30" t="str">
        <f t="shared" si="198"/>
        <v>-0,24041687366641+0,0985910644311751i</v>
      </c>
      <c r="BD211" s="32">
        <f t="shared" si="199"/>
        <v>-11.7056453604918</v>
      </c>
      <c r="BE211" s="31">
        <f t="shared" si="200"/>
        <v>157.702260681215</v>
      </c>
      <c r="BF211" s="30" t="str">
        <f t="shared" si="201"/>
        <v>0,549266845394643+2,15756149328046i</v>
      </c>
      <c r="BG211" s="68">
        <f t="shared" si="202"/>
        <v>6.95198387753748</v>
      </c>
      <c r="BH211" s="31">
        <f t="shared" si="203"/>
        <v>75.7171740896892</v>
      </c>
      <c r="BI211" s="30" t="str">
        <f t="shared" si="209"/>
        <v>1,56905143879601+11,3178444621143i</v>
      </c>
      <c r="BJ211" s="68">
        <f t="shared" si="204"/>
        <v>21.1579525780768</v>
      </c>
      <c r="BK211" s="31">
        <f t="shared" si="210"/>
        <v>82.1070989634779</v>
      </c>
      <c r="BL211" s="32">
        <f t="shared" si="205"/>
        <v>6.95198387753748</v>
      </c>
      <c r="BM211" s="31">
        <f t="shared" si="206"/>
        <v>75.7171740896892</v>
      </c>
      <c r="BO211">
        <f t="shared" si="207"/>
        <v>0</v>
      </c>
      <c r="BP211">
        <f t="shared" si="208"/>
        <v>0</v>
      </c>
    </row>
    <row r="212" spans="14:68">
      <c r="N212" s="7">
        <v>94</v>
      </c>
      <c r="O212" s="18">
        <f t="shared" si="211"/>
        <v>870.963589956081</v>
      </c>
      <c r="P212" s="86" t="str">
        <f t="shared" si="212"/>
        <v>75</v>
      </c>
      <c r="Q212" s="4" t="str">
        <f t="shared" si="213"/>
        <v>1+8,93829519811737i</v>
      </c>
      <c r="R212" s="4">
        <f t="shared" ref="R212:R275" si="224">IMABS(Q212)</f>
        <v>8.99406032049419</v>
      </c>
      <c r="S212" s="4">
        <f t="shared" ref="S212:S275" si="225">IMARGUMENT(Q212)</f>
        <v>1.45938147715876</v>
      </c>
      <c r="T212" s="4" t="str">
        <f t="shared" si="214"/>
        <v>1+0,0858076339019268i</v>
      </c>
      <c r="U212" s="4">
        <f t="shared" ref="U212:U275" si="226">IMABS(T212)</f>
        <v>1.00367472322254</v>
      </c>
      <c r="V212" s="4">
        <f t="shared" ref="V212:V275" si="227">IMARGUMENT(T212)</f>
        <v>0.0855979603080713</v>
      </c>
      <c r="W212" t="str">
        <f t="shared" si="215"/>
        <v>1-0,045010700819091i</v>
      </c>
      <c r="X212" s="4">
        <f t="shared" ref="X212:X275" si="228">IMABS(W212)</f>
        <v>1.00101246904733</v>
      </c>
      <c r="Y212" s="4">
        <f t="shared" ref="Y212:Y275" si="229">IMARGUMENT(W212)</f>
        <v>-0.0449803410409189</v>
      </c>
      <c r="Z212" t="str">
        <f t="shared" si="216"/>
        <v>0,99999380753+0,0141244422370584i</v>
      </c>
      <c r="AA212" s="4">
        <f t="shared" ref="AA212:AA275" si="230">IMABS(Z212)</f>
        <v>1.00009355310734</v>
      </c>
      <c r="AB212" s="4">
        <f t="shared" ref="AB212:AB275" si="231">IMARGUMENT(Z212)</f>
        <v>0.0141235905229642</v>
      </c>
      <c r="AC212" s="67" t="str">
        <f t="shared" ref="AC212:AC275" si="232">(IMDIV(IMPRODUCT(P212,T212,W212),IMPRODUCT(Q212,Z212)))</f>
        <v>1,15162752296206-8,29763378724742i</v>
      </c>
      <c r="AD212" s="68">
        <f t="shared" ref="AD212:AD275" si="233">20*LOG(IMABS(AC212))</f>
        <v>18.4619462791299</v>
      </c>
      <c r="AE212" s="31">
        <f t="shared" ref="AE212:AE275" si="234">(180/PI())*IMARGUMENT(AC212)</f>
        <v>-82.0984033114243</v>
      </c>
      <c r="AF212" s="32" t="str">
        <f t="shared" ref="AF212:AF275" si="235">COMPLEX($B$68,0)</f>
        <v>249,914648392112</v>
      </c>
      <c r="AG212" s="32" t="str">
        <f t="shared" si="217"/>
        <v>1+5,74604691307545i</v>
      </c>
      <c r="AH212" s="32">
        <f t="shared" ref="AH212:AH275" si="236">IMABS(AG212)</f>
        <v>5.83241417658793</v>
      </c>
      <c r="AI212" s="32">
        <f t="shared" ref="AI212:AI275" si="237">IMARGUMENT(AG212)</f>
        <v>1.39848938084875</v>
      </c>
      <c r="AJ212" s="32" t="str">
        <f t="shared" si="218"/>
        <v>1+0,0858076339019268i</v>
      </c>
      <c r="AK212" s="32">
        <f t="shared" ref="AK212:AK275" si="238">IMABS(AJ212)</f>
        <v>1.00367472322254</v>
      </c>
      <c r="AL212" s="32">
        <f t="shared" ref="AL212:AL275" si="239">IMARGUMENT(AJ212)</f>
        <v>0.0855979603080713</v>
      </c>
      <c r="AM212" s="32" t="str">
        <f t="shared" si="219"/>
        <v>1-0,00868351204789727i</v>
      </c>
      <c r="AN212" s="32">
        <f t="shared" ref="AN212:AN275" si="240">IMABS(AM212)</f>
        <v>1.00003770098006</v>
      </c>
      <c r="AO212" s="32">
        <f t="shared" ref="AO212:AO275" si="241">IMARGUMENT(AM212)</f>
        <v>-0.00868329380238053</v>
      </c>
      <c r="AP212" s="30" t="str">
        <f t="shared" ref="AP212:AP275" si="242">(IMDIV(IMPRODUCT(AF212,AJ212,AM212),IMPRODUCT(AG212)))</f>
        <v>10,6079948016969-41,6795879885105i</v>
      </c>
      <c r="AQ212" s="32">
        <f t="shared" ref="AQ212:AQ275" si="243">20*LOG(IMABS(AP212))</f>
        <v>32.6710543089716</v>
      </c>
      <c r="AR212" s="31">
        <f t="shared" ref="AR212:AR275" si="244">(180/PI())*IMARGUMENT(AP212)</f>
        <v>-75.7206534430646</v>
      </c>
      <c r="AS212" t="str">
        <f t="shared" si="220"/>
        <v>-0,000100699300699301</v>
      </c>
      <c r="AT212" t="str">
        <f t="shared" si="221"/>
        <v>0,00122965403939815i</v>
      </c>
      <c r="AU212">
        <f t="shared" ref="AU212:AU275" si="245">IMABS(AT212)</f>
        <v>0.00122965403939815</v>
      </c>
      <c r="AV212">
        <f t="shared" ref="AV212:AV275" si="246">IMARGUMENT(AT212)</f>
        <v>1.5707963267949</v>
      </c>
      <c r="AW212" t="str">
        <f t="shared" si="222"/>
        <v>1+0,062956031408227i</v>
      </c>
      <c r="AX212">
        <f t="shared" ref="AX212:AX275" si="247">IMABS(AW212)</f>
        <v>1.00197977119834</v>
      </c>
      <c r="AY212">
        <f t="shared" ref="AY212:AY275" si="248">IMARGUMENT(AW212)</f>
        <v>0.0628730540351938</v>
      </c>
      <c r="AZ212" t="str">
        <f t="shared" si="223"/>
        <v>1+3,00983409732523i</v>
      </c>
      <c r="BA212">
        <f t="shared" ref="BA212:BA275" si="249">IMABS(AZ212)</f>
        <v>3.17160862866489</v>
      </c>
      <c r="BB212">
        <f t="shared" ref="BB212:BB275" si="250">IMARGUMENT(AZ212)</f>
        <v>1.25002628906672</v>
      </c>
      <c r="BC212" s="30" t="str">
        <f t="shared" ref="BC212:BC275" si="251">IMPRODUCT(AS212,IMDIV(AZ212,IMPRODUCT(AT212,AW212)))</f>
        <v>-0,24037415617067+0,0970253868587234i</v>
      </c>
      <c r="BD212" s="32">
        <f t="shared" ref="BD212:BD275" si="252">20*LOG(IMABS(BC212))</f>
        <v>-11.7267169829526</v>
      </c>
      <c r="BE212" s="31">
        <f t="shared" ref="BE212:BE275" si="253">(180/PI())*IMARGUMENT(BC212)</f>
        <v>158.018870002609</v>
      </c>
      <c r="BF212" s="30" t="str">
        <f t="shared" ref="BF212:BF275" si="254">IMPRODUCT(AC212,BC212)</f>
        <v>0,528259634164771+2,10627382575539i</v>
      </c>
      <c r="BG212" s="68">
        <f t="shared" ref="BG212:BG275" si="255">20*LOG(IMABS(BF212))</f>
        <v>6.73522929617733</v>
      </c>
      <c r="BH212" s="31">
        <f t="shared" ref="BH212:BH275" si="256">(180/PI())*IMARGUMENT(BF212)</f>
        <v>75.9204666911843</v>
      </c>
      <c r="BI212" s="30" t="str">
        <f t="shared" si="209"/>
        <v>1,49409034957669+11,0479405917094i</v>
      </c>
      <c r="BJ212" s="68">
        <f t="shared" ref="BJ212:BJ275" si="257">20*LOG(IMABS(BI212))</f>
        <v>20.9443373260191</v>
      </c>
      <c r="BK212" s="31">
        <f t="shared" si="210"/>
        <v>82.2982165595441</v>
      </c>
      <c r="BL212" s="32">
        <f t="shared" ref="BL212:BL275" si="258">IF($B$31=0,BJ212,BG212)</f>
        <v>6.73522929617733</v>
      </c>
      <c r="BM212" s="31">
        <f t="shared" ref="BM212:BM275" si="259">IF($B$31=0,BK212,BH212)</f>
        <v>75.9204666911843</v>
      </c>
      <c r="BO212">
        <f t="shared" ref="BO212:BO275" si="260">SUM((BL213&lt;0)*(BL212&gt;0))*O212</f>
        <v>0</v>
      </c>
      <c r="BP212">
        <f t="shared" ref="BP212:BP275" si="261">IF(BO212&gt;0,BM212,0)</f>
        <v>0</v>
      </c>
    </row>
    <row r="213" spans="14:68">
      <c r="N213" s="7">
        <v>95</v>
      </c>
      <c r="O213" s="18">
        <f t="shared" si="211"/>
        <v>891.250938133747</v>
      </c>
      <c r="P213" s="86" t="str">
        <f t="shared" si="212"/>
        <v>75</v>
      </c>
      <c r="Q213" s="4" t="str">
        <f t="shared" si="213"/>
        <v>1+9,14649483917023i</v>
      </c>
      <c r="R213" s="4">
        <f t="shared" si="224"/>
        <v>9.20099819818305</v>
      </c>
      <c r="S213" s="4">
        <f t="shared" si="225"/>
        <v>1.46189735582805</v>
      </c>
      <c r="T213" s="4" t="str">
        <f t="shared" si="214"/>
        <v>1+0,0878063504560343i</v>
      </c>
      <c r="U213" s="4">
        <f t="shared" si="226"/>
        <v>1.00384757567093</v>
      </c>
      <c r="V213" s="4">
        <f t="shared" si="227"/>
        <v>0.087581727634311</v>
      </c>
      <c r="W213" t="str">
        <f t="shared" si="215"/>
        <v>1-0,0460591347258215i</v>
      </c>
      <c r="X213" s="4">
        <f t="shared" si="228"/>
        <v>1.00106015997626</v>
      </c>
      <c r="Y213" s="4">
        <f t="shared" si="229"/>
        <v>-0.0460266054978126</v>
      </c>
      <c r="Z213" t="str">
        <f t="shared" si="216"/>
        <v>0,99999351568788+0,0144534427610561i</v>
      </c>
      <c r="AA213" s="4">
        <f t="shared" si="230"/>
        <v>1.00009796191446</v>
      </c>
      <c r="AB213" s="4">
        <f t="shared" si="231"/>
        <v>0.0144525301377842</v>
      </c>
      <c r="AC213" s="67" t="str">
        <f t="shared" si="232"/>
        <v>1,11049340792874-8,11489373295557i</v>
      </c>
      <c r="AD213" s="68">
        <f t="shared" si="233"/>
        <v>18.2662345546619</v>
      </c>
      <c r="AE213" s="31">
        <f t="shared" si="234"/>
        <v>-82.2076844348909</v>
      </c>
      <c r="AF213" s="32" t="str">
        <f t="shared" si="235"/>
        <v>249,914648392112</v>
      </c>
      <c r="AG213" s="32" t="str">
        <f t="shared" si="217"/>
        <v>1+5,87988953946658i</v>
      </c>
      <c r="AH213" s="32">
        <f t="shared" si="236"/>
        <v>5.96431898847878</v>
      </c>
      <c r="AI213" s="32">
        <f t="shared" si="237"/>
        <v>1.40233694883147</v>
      </c>
      <c r="AJ213" s="32" t="str">
        <f t="shared" si="218"/>
        <v>1+0,0878063504560343i</v>
      </c>
      <c r="AK213" s="32">
        <f t="shared" si="238"/>
        <v>1.00384757567093</v>
      </c>
      <c r="AL213" s="32">
        <f t="shared" si="239"/>
        <v>0.087581727634311</v>
      </c>
      <c r="AM213" s="32" t="str">
        <f t="shared" si="219"/>
        <v>1-0,00888577702699878i</v>
      </c>
      <c r="AN213" s="32">
        <f t="shared" si="240"/>
        <v>1.00003947773744</v>
      </c>
      <c r="AO213" s="32">
        <f t="shared" si="241"/>
        <v>-0.0088855431732129</v>
      </c>
      <c r="AP213" s="30" t="str">
        <f t="shared" si="242"/>
        <v>10,2909525757801-40,7862570420549i</v>
      </c>
      <c r="AQ213" s="32">
        <f t="shared" si="243"/>
        <v>32.4783153771322</v>
      </c>
      <c r="AR213" s="31">
        <f t="shared" si="244"/>
        <v>-75.8390293898925</v>
      </c>
      <c r="AS213" t="str">
        <f t="shared" si="220"/>
        <v>-0,000100699300699301</v>
      </c>
      <c r="AT213" t="str">
        <f t="shared" si="221"/>
        <v>0,00125829636144585i</v>
      </c>
      <c r="AU213">
        <f t="shared" si="245"/>
        <v>0.00125829636144585</v>
      </c>
      <c r="AV213">
        <f t="shared" si="246"/>
        <v>1.5707963267949</v>
      </c>
      <c r="AW213" t="str">
        <f t="shared" si="222"/>
        <v>1+0,0644224657618459i</v>
      </c>
      <c r="AX213">
        <f t="shared" si="247"/>
        <v>1.00207297842764</v>
      </c>
      <c r="AY213">
        <f t="shared" si="248"/>
        <v>0.0643335638356387</v>
      </c>
      <c r="AZ213" t="str">
        <f t="shared" si="223"/>
        <v>1+3,07994213972059i</v>
      </c>
      <c r="BA213">
        <f t="shared" si="249"/>
        <v>3.23821611138396</v>
      </c>
      <c r="BB213">
        <f t="shared" si="250"/>
        <v>1.25685259571511</v>
      </c>
      <c r="BC213" s="30" t="str">
        <f t="shared" si="251"/>
        <v>-0,240329441728513+0,0955109009235638i</v>
      </c>
      <c r="BD213" s="32">
        <f t="shared" si="252"/>
        <v>-11.7470001631008</v>
      </c>
      <c r="BE213" s="31">
        <f t="shared" si="253"/>
        <v>158.326307515721</v>
      </c>
      <c r="BF213" s="30" t="str">
        <f t="shared" si="254"/>
        <v>0,50817655056286+2,05631210638837i</v>
      </c>
      <c r="BG213" s="68">
        <f t="shared" si="255"/>
        <v>6.5192343915611</v>
      </c>
      <c r="BH213" s="31">
        <f t="shared" si="256"/>
        <v>76.11862308083</v>
      </c>
      <c r="BI213" s="30" t="str">
        <f t="shared" si="209"/>
        <v>1,42231326799488+10,7850365369871i</v>
      </c>
      <c r="BJ213" s="68">
        <f t="shared" si="257"/>
        <v>20.7313152140314</v>
      </c>
      <c r="BK213" s="31">
        <f t="shared" si="210"/>
        <v>82.4872781258283</v>
      </c>
      <c r="BL213" s="32">
        <f t="shared" si="258"/>
        <v>6.5192343915611</v>
      </c>
      <c r="BM213" s="31">
        <f t="shared" si="259"/>
        <v>76.11862308083</v>
      </c>
      <c r="BO213">
        <f t="shared" si="260"/>
        <v>0</v>
      </c>
      <c r="BP213">
        <f t="shared" si="261"/>
        <v>0</v>
      </c>
    </row>
    <row r="214" spans="14:68">
      <c r="N214" s="7">
        <v>96</v>
      </c>
      <c r="O214" s="18">
        <f t="shared" si="211"/>
        <v>912.01083935591</v>
      </c>
      <c r="P214" s="86" t="str">
        <f t="shared" si="212"/>
        <v>75</v>
      </c>
      <c r="Q214" s="4" t="str">
        <f t="shared" si="213"/>
        <v>1+9,35954407285498i</v>
      </c>
      <c r="R214" s="4">
        <f t="shared" si="224"/>
        <v>9.41281388595965</v>
      </c>
      <c r="S214" s="4">
        <f t="shared" si="225"/>
        <v>1.46435730422604</v>
      </c>
      <c r="T214" s="4" t="str">
        <f t="shared" si="214"/>
        <v>1+0,0898516230994079i</v>
      </c>
      <c r="U214" s="4">
        <f t="shared" si="226"/>
        <v>1.00402854250942</v>
      </c>
      <c r="V214" s="4">
        <f t="shared" si="227"/>
        <v>0.0896109875368015</v>
      </c>
      <c r="W214" t="str">
        <f t="shared" si="215"/>
        <v>1-0,0471319897954483i</v>
      </c>
      <c r="X214" s="4">
        <f t="shared" si="228"/>
        <v>1.00111009607439</v>
      </c>
      <c r="Y214" s="4">
        <f t="shared" si="229"/>
        <v>-0.0470971361867705</v>
      </c>
      <c r="Z214" t="str">
        <f t="shared" si="216"/>
        <v>0,999993210091664+0,0147901066917197i</v>
      </c>
      <c r="AA214" s="4">
        <f t="shared" si="230"/>
        <v>1.00010257848152</v>
      </c>
      <c r="AB214" s="4">
        <f t="shared" si="231"/>
        <v>0.0147891288036764</v>
      </c>
      <c r="AC214" s="67" t="str">
        <f t="shared" si="232"/>
        <v>1,07116570170257-7,93605614521319i</v>
      </c>
      <c r="AD214" s="68">
        <f t="shared" si="233"/>
        <v>18.070502899813</v>
      </c>
      <c r="AE214" s="31">
        <f t="shared" si="234"/>
        <v>-82.3129836412297</v>
      </c>
      <c r="AF214" s="32" t="str">
        <f t="shared" si="235"/>
        <v>249,914648392112</v>
      </c>
      <c r="AG214" s="32" t="str">
        <f t="shared" si="217"/>
        <v>1+6,01684976112106i</v>
      </c>
      <c r="AH214" s="32">
        <f t="shared" si="236"/>
        <v>6.09938366131387</v>
      </c>
      <c r="AI214" s="32">
        <f t="shared" si="237"/>
        <v>1.40610180735978</v>
      </c>
      <c r="AJ214" s="32" t="str">
        <f t="shared" si="218"/>
        <v>1+0,0898516230994079i</v>
      </c>
      <c r="AK214" s="32">
        <f t="shared" si="238"/>
        <v>1.00402854250942</v>
      </c>
      <c r="AL214" s="32">
        <f t="shared" si="239"/>
        <v>0.0896109875368015</v>
      </c>
      <c r="AM214" s="32" t="str">
        <f t="shared" si="219"/>
        <v>1-0,00909275336269717i</v>
      </c>
      <c r="AN214" s="32">
        <f t="shared" si="240"/>
        <v>1.00004133822743</v>
      </c>
      <c r="AO214" s="32">
        <f t="shared" si="241"/>
        <v>-0.00909250278441042</v>
      </c>
      <c r="AP214" s="30" t="str">
        <f t="shared" si="242"/>
        <v>9,9873944112622-39,9098271428304i</v>
      </c>
      <c r="AQ214" s="32">
        <f t="shared" si="243"/>
        <v>32.2853954412793</v>
      </c>
      <c r="AR214" s="31">
        <f t="shared" si="244"/>
        <v>-75.9503297783319</v>
      </c>
      <c r="AS214" t="str">
        <f t="shared" si="220"/>
        <v>-0,000100699300699301</v>
      </c>
      <c r="AT214" t="str">
        <f t="shared" si="221"/>
        <v>0,00128760584887991i</v>
      </c>
      <c r="AU214">
        <f t="shared" si="245"/>
        <v>0.00128760584887991</v>
      </c>
      <c r="AV214">
        <f t="shared" si="246"/>
        <v>1.5707963267949</v>
      </c>
      <c r="AW214" t="str">
        <f t="shared" si="222"/>
        <v>1+0,0659230577595437i</v>
      </c>
      <c r="AX214">
        <f t="shared" si="247"/>
        <v>1.0021705690871</v>
      </c>
      <c r="AY214">
        <f t="shared" si="248"/>
        <v>0.0658278087689565</v>
      </c>
      <c r="AZ214" t="str">
        <f t="shared" si="223"/>
        <v>1+3,15168320820627i</v>
      </c>
      <c r="BA214">
        <f t="shared" si="249"/>
        <v>3.3065249197442</v>
      </c>
      <c r="BB214">
        <f t="shared" si="250"/>
        <v>1.26355288356543</v>
      </c>
      <c r="BC214" s="30" t="str">
        <f t="shared" si="251"/>
        <v>-0,240282637786214+0,0940467857171433i</v>
      </c>
      <c r="BD214" s="32">
        <f t="shared" si="252"/>
        <v>-11.7665266122561</v>
      </c>
      <c r="BE214" s="31">
        <f t="shared" si="253"/>
        <v>158.624591802829</v>
      </c>
      <c r="BF214" s="30" t="str">
        <f t="shared" si="254"/>
        <v>0,488978051416869+2,00763619540689i</v>
      </c>
      <c r="BG214" s="68">
        <f t="shared" si="255"/>
        <v>6.30397628755683</v>
      </c>
      <c r="BH214" s="31">
        <f t="shared" si="256"/>
        <v>76.3116081615991</v>
      </c>
      <c r="BI214" s="30" t="str">
        <f t="shared" si="209"/>
        <v>1,35359348756063+10,5289208815397i</v>
      </c>
      <c r="BJ214" s="68">
        <f t="shared" si="257"/>
        <v>20.5188688290232</v>
      </c>
      <c r="BK214" s="31">
        <f t="shared" si="210"/>
        <v>82.6742620244969</v>
      </c>
      <c r="BL214" s="32">
        <f t="shared" si="258"/>
        <v>6.30397628755683</v>
      </c>
      <c r="BM214" s="31">
        <f t="shared" si="259"/>
        <v>76.3116081615991</v>
      </c>
      <c r="BO214">
        <f t="shared" si="260"/>
        <v>0</v>
      </c>
      <c r="BP214">
        <f t="shared" si="261"/>
        <v>0</v>
      </c>
    </row>
    <row r="215" spans="14:68">
      <c r="N215" s="7">
        <v>97</v>
      </c>
      <c r="O215" s="18">
        <f t="shared" si="211"/>
        <v>933.254300796991</v>
      </c>
      <c r="P215" s="86" t="str">
        <f t="shared" si="212"/>
        <v>75</v>
      </c>
      <c r="Q215" s="4" t="str">
        <f t="shared" si="213"/>
        <v>1+9,57755586069535i</v>
      </c>
      <c r="R215" s="4">
        <f t="shared" si="224"/>
        <v>9.62961973624815</v>
      </c>
      <c r="S215" s="4">
        <f t="shared" si="225"/>
        <v>1.46676250749713</v>
      </c>
      <c r="T215" s="4" t="str">
        <f t="shared" si="214"/>
        <v>1+0,0919445362626755i</v>
      </c>
      <c r="U215" s="4">
        <f t="shared" si="226"/>
        <v>1.00421800309921</v>
      </c>
      <c r="V215" s="4">
        <f t="shared" si="227"/>
        <v>0.0916867490687297</v>
      </c>
      <c r="W215" t="str">
        <f t="shared" si="215"/>
        <v>1-0,0482298348699302i</v>
      </c>
      <c r="X215" s="4">
        <f t="shared" si="228"/>
        <v>1.00116238291877</v>
      </c>
      <c r="Y215" s="4">
        <f t="shared" si="229"/>
        <v>-0.0481924908968183</v>
      </c>
      <c r="Z215" t="str">
        <f t="shared" si="216"/>
        <v>0,999992890093143+0,0151346125327215i</v>
      </c>
      <c r="AA215" s="4">
        <f t="shared" si="230"/>
        <v>1.00010741259794</v>
      </c>
      <c r="AB215" s="4">
        <f t="shared" si="231"/>
        <v>0.0151335647128758</v>
      </c>
      <c r="AC215" s="67" t="str">
        <f t="shared" si="232"/>
        <v>1,03356669908182-7,76105230982712i</v>
      </c>
      <c r="AD215" s="68">
        <f t="shared" si="233"/>
        <v>17.8747601162026</v>
      </c>
      <c r="AE215" s="31">
        <f t="shared" si="234"/>
        <v>-82.4143531883442</v>
      </c>
      <c r="AF215" s="32" t="str">
        <f t="shared" si="235"/>
        <v>249,914648392112</v>
      </c>
      <c r="AG215" s="32" t="str">
        <f t="shared" si="217"/>
        <v>1+6,1570001961613i</v>
      </c>
      <c r="AH215" s="32">
        <f t="shared" si="236"/>
        <v>6.23767997059246</v>
      </c>
      <c r="AI215" s="32">
        <f t="shared" si="237"/>
        <v>1.40978552548687</v>
      </c>
      <c r="AJ215" s="32" t="str">
        <f t="shared" si="218"/>
        <v>1+0,0919445362626755i</v>
      </c>
      <c r="AK215" s="32">
        <f t="shared" si="238"/>
        <v>1.00421800309921</v>
      </c>
      <c r="AL215" s="32">
        <f t="shared" si="239"/>
        <v>0.0916867490687297</v>
      </c>
      <c r="AM215" s="32" t="str">
        <f t="shared" si="219"/>
        <v>1-0,00930455079658526i</v>
      </c>
      <c r="AN215" s="32">
        <f t="shared" si="240"/>
        <v>1.00004328639591</v>
      </c>
      <c r="AO215" s="32">
        <f t="shared" si="241"/>
        <v>-0.00930428229774121</v>
      </c>
      <c r="AP215" s="30" t="str">
        <f t="shared" si="242"/>
        <v>9,69677978683854-39,0501321388106i</v>
      </c>
      <c r="AQ215" s="32">
        <f t="shared" si="243"/>
        <v>32.0923084965433</v>
      </c>
      <c r="AR215" s="31">
        <f t="shared" si="244"/>
        <v>-76.0545929771763</v>
      </c>
      <c r="AS215" t="str">
        <f t="shared" si="220"/>
        <v>-0,000100699300699301</v>
      </c>
      <c r="AT215" t="str">
        <f t="shared" si="221"/>
        <v>0,00131759804197852i</v>
      </c>
      <c r="AU215">
        <f t="shared" si="245"/>
        <v>0.00131759804197852</v>
      </c>
      <c r="AV215">
        <f t="shared" si="246"/>
        <v>1.5707963267949</v>
      </c>
      <c r="AW215" t="str">
        <f t="shared" si="222"/>
        <v>1+0,0674586030350604i</v>
      </c>
      <c r="AX215">
        <f t="shared" si="247"/>
        <v>1.00227274886801</v>
      </c>
      <c r="AY215">
        <f t="shared" si="248"/>
        <v>0.0673565543981371</v>
      </c>
      <c r="AZ215" t="str">
        <f t="shared" si="223"/>
        <v>1+3,22509534084639i</v>
      </c>
      <c r="BA215">
        <f t="shared" si="249"/>
        <v>3.37657222009971</v>
      </c>
      <c r="BB215">
        <f t="shared" si="250"/>
        <v>1.27012829794289</v>
      </c>
      <c r="BC215" s="30" t="str">
        <f t="shared" si="251"/>
        <v>-0,240233647577116+0,0926322457756689i</v>
      </c>
      <c r="BD215" s="32">
        <f t="shared" si="252"/>
        <v>-11.7853273077291</v>
      </c>
      <c r="BE215" s="31">
        <f t="shared" si="253"/>
        <v>158.913744622705</v>
      </c>
      <c r="BF215" s="30" t="str">
        <f t="shared" si="254"/>
        <v>0,470626206907064+1,96020750992146i</v>
      </c>
      <c r="BG215" s="68">
        <f t="shared" si="255"/>
        <v>6.08943280847345</v>
      </c>
      <c r="BH215" s="31">
        <f t="shared" si="256"/>
        <v>76.4993914343612</v>
      </c>
      <c r="BI215" s="30" t="str">
        <f t="shared" si="209"/>
        <v>1,28780865991038+10,2793901705218i</v>
      </c>
      <c r="BJ215" s="68">
        <f t="shared" si="257"/>
        <v>20.3069811888142</v>
      </c>
      <c r="BK215" s="31">
        <f t="shared" si="210"/>
        <v>82.8591516455291</v>
      </c>
      <c r="BL215" s="32">
        <f t="shared" si="258"/>
        <v>6.08943280847345</v>
      </c>
      <c r="BM215" s="31">
        <f t="shared" si="259"/>
        <v>76.4993914343612</v>
      </c>
      <c r="BO215">
        <f t="shared" si="260"/>
        <v>0</v>
      </c>
      <c r="BP215">
        <f t="shared" si="261"/>
        <v>0</v>
      </c>
    </row>
    <row r="216" spans="14:68">
      <c r="N216" s="7">
        <v>98</v>
      </c>
      <c r="O216" s="18">
        <f t="shared" si="211"/>
        <v>954.992586021437</v>
      </c>
      <c r="P216" s="86" t="str">
        <f t="shared" si="212"/>
        <v>75</v>
      </c>
      <c r="Q216" s="4" t="str">
        <f t="shared" si="213"/>
        <v>1+9,80064579542703i</v>
      </c>
      <c r="R216" s="4">
        <f t="shared" si="224"/>
        <v>9.85153074437783</v>
      </c>
      <c r="S216" s="4">
        <f t="shared" si="225"/>
        <v>1.46911412953833</v>
      </c>
      <c r="T216" s="4" t="str">
        <f t="shared" si="214"/>
        <v>1+0,0940861996360996i</v>
      </c>
      <c r="U216" s="4">
        <f t="shared" si="226"/>
        <v>1.00441635438794</v>
      </c>
      <c r="V216" s="4">
        <f t="shared" si="227"/>
        <v>0.0938100412346756</v>
      </c>
      <c r="W216" t="str">
        <f t="shared" si="215"/>
        <v>1-0,0493532520412576i</v>
      </c>
      <c r="X216" s="4">
        <f t="shared" si="228"/>
        <v>1.00121713103954</v>
      </c>
      <c r="Y216" s="4">
        <f t="shared" si="229"/>
        <v>-0.0493132398798755</v>
      </c>
      <c r="Z216" t="str">
        <f t="shared" si="216"/>
        <v>0,999992555013556+0,0154871429456184i</v>
      </c>
      <c r="AA216" s="4">
        <f t="shared" si="230"/>
        <v>1.00011247451432</v>
      </c>
      <c r="AB216" s="4">
        <f t="shared" si="231"/>
        <v>0.015486020193237</v>
      </c>
      <c r="AC216" s="67" t="str">
        <f t="shared" si="232"/>
        <v>0,997621869767217-7,58981386618674i</v>
      </c>
      <c r="AD216" s="68">
        <f t="shared" si="233"/>
        <v>17.6790149884833</v>
      </c>
      <c r="AE216" s="31">
        <f t="shared" si="234"/>
        <v>-82.511843924647</v>
      </c>
      <c r="AF216" s="32" t="str">
        <f t="shared" si="235"/>
        <v>249,914648392112</v>
      </c>
      <c r="AG216" s="32" t="str">
        <f t="shared" si="217"/>
        <v>1+6,30041515420309i</v>
      </c>
      <c r="AH216" s="32">
        <f t="shared" si="236"/>
        <v>6.37928139489958</v>
      </c>
      <c r="AI216" s="32">
        <f t="shared" si="237"/>
        <v>1.41338965626834</v>
      </c>
      <c r="AJ216" s="32" t="str">
        <f t="shared" si="218"/>
        <v>1+0,0940861996360996i</v>
      </c>
      <c r="AK216" s="32">
        <f t="shared" si="238"/>
        <v>1.00441635438794</v>
      </c>
      <c r="AL216" s="32">
        <f t="shared" si="239"/>
        <v>0.0938100412346756</v>
      </c>
      <c r="AM216" s="32" t="str">
        <f t="shared" si="219"/>
        <v>1-0,00952128162646602i</v>
      </c>
      <c r="AN216" s="32">
        <f t="shared" si="240"/>
        <v>1.00004532637467</v>
      </c>
      <c r="AO216" s="32">
        <f t="shared" si="241"/>
        <v>-0.00952099392547545</v>
      </c>
      <c r="AP216" s="30" t="str">
        <f t="shared" si="242"/>
        <v>9,41858700962665-38,2069965759467i</v>
      </c>
      <c r="AQ216" s="32">
        <f t="shared" si="243"/>
        <v>31.8990682566976</v>
      </c>
      <c r="AR216" s="31">
        <f t="shared" si="244"/>
        <v>-76.1518554416265</v>
      </c>
      <c r="AS216" t="str">
        <f t="shared" si="220"/>
        <v>-0,000100699300699301</v>
      </c>
      <c r="AT216" t="str">
        <f t="shared" si="221"/>
        <v>0,00134828884299946i</v>
      </c>
      <c r="AU216">
        <f t="shared" si="245"/>
        <v>0.00134828884299946</v>
      </c>
      <c r="AV216">
        <f t="shared" si="246"/>
        <v>1.5707963267949</v>
      </c>
      <c r="AW216" t="str">
        <f t="shared" si="222"/>
        <v>1+0,0690299157548266i</v>
      </c>
      <c r="AX216">
        <f t="shared" si="247"/>
        <v>1.00237973306982</v>
      </c>
      <c r="AY216">
        <f t="shared" si="248"/>
        <v>0.0689205826860611</v>
      </c>
      <c r="AZ216" t="str">
        <f t="shared" si="223"/>
        <v>1+3,30021746172543i</v>
      </c>
      <c r="BA216">
        <f t="shared" si="249"/>
        <v>3.44839604666828</v>
      </c>
      <c r="BB216">
        <f t="shared" si="250"/>
        <v>1.27658005004378</v>
      </c>
      <c r="BC216" s="30" t="str">
        <f t="shared" si="251"/>
        <v>-0,240182369937243+0,0912665105702608i</v>
      </c>
      <c r="BD216" s="32">
        <f t="shared" si="252"/>
        <v>-11.8034324953509</v>
      </c>
      <c r="BE216" s="31">
        <f t="shared" si="253"/>
        <v>159.193790568614</v>
      </c>
      <c r="BF216" s="30" t="str">
        <f t="shared" si="254"/>
        <v>0,45308464246273+1,91398894868551i</v>
      </c>
      <c r="BG216" s="68">
        <f t="shared" si="255"/>
        <v>5.87558249313239</v>
      </c>
      <c r="BH216" s="31">
        <f t="shared" si="256"/>
        <v>76.6819466439674</v>
      </c>
      <c r="BI216" s="30" t="str">
        <f t="shared" si="209"/>
        <v>1,2248407074243+10,036248556666i</v>
      </c>
      <c r="BJ216" s="68">
        <f t="shared" si="257"/>
        <v>20.0956357613467</v>
      </c>
      <c r="BK216" s="31">
        <f t="shared" si="210"/>
        <v>83.0419351269878</v>
      </c>
      <c r="BL216" s="32">
        <f t="shared" si="258"/>
        <v>5.87558249313239</v>
      </c>
      <c r="BM216" s="31">
        <f t="shared" si="259"/>
        <v>76.6819466439674</v>
      </c>
      <c r="BO216">
        <f t="shared" si="260"/>
        <v>0</v>
      </c>
      <c r="BP216">
        <f t="shared" si="261"/>
        <v>0</v>
      </c>
    </row>
    <row r="217" spans="14:68">
      <c r="N217" s="7">
        <v>99</v>
      </c>
      <c r="O217" s="18">
        <f t="shared" si="211"/>
        <v>977.237220955811</v>
      </c>
      <c r="P217" s="86" t="str">
        <f t="shared" si="212"/>
        <v>75</v>
      </c>
      <c r="Q217" s="4" t="str">
        <f t="shared" si="213"/>
        <v>1+10,0289321622863i</v>
      </c>
      <c r="R217" s="4">
        <f t="shared" si="224"/>
        <v>10.0786646097457</v>
      </c>
      <c r="S217" s="4">
        <f t="shared" si="225"/>
        <v>1.47141331311576</v>
      </c>
      <c r="T217" s="4" t="str">
        <f t="shared" si="214"/>
        <v>1+0,0962777487579487i</v>
      </c>
      <c r="U217" s="4">
        <f t="shared" si="226"/>
        <v>1.0046240117108</v>
      </c>
      <c r="V217" s="4">
        <f t="shared" si="227"/>
        <v>0.0959819132092949</v>
      </c>
      <c r="W217" t="str">
        <f t="shared" si="215"/>
        <v>1-0,0505028369600847i</v>
      </c>
      <c r="X217" s="4">
        <f t="shared" si="228"/>
        <v>1.00127445615127</v>
      </c>
      <c r="Y217" s="4">
        <f t="shared" si="229"/>
        <v>-0.0504599661035006</v>
      </c>
      <c r="Z217" t="str">
        <f t="shared" si="216"/>
        <v>0,999992204142155+0,0158478848467016i</v>
      </c>
      <c r="AA217" s="4">
        <f t="shared" si="230"/>
        <v>1.00011777496413</v>
      </c>
      <c r="AB217" s="4">
        <f t="shared" si="231"/>
        <v>0.0158466818034927</v>
      </c>
      <c r="AC217" s="67" t="str">
        <f t="shared" si="232"/>
        <v>0,96325974217976-7,42227287629804i</v>
      </c>
      <c r="AD217" s="68">
        <f t="shared" si="233"/>
        <v>17.4832763009585</v>
      </c>
      <c r="AE217" s="31">
        <f t="shared" si="234"/>
        <v>-82.6055053031418</v>
      </c>
      <c r="AF217" s="32" t="str">
        <f t="shared" si="235"/>
        <v>249,914648392112</v>
      </c>
      <c r="AG217" s="32" t="str">
        <f t="shared" si="217"/>
        <v>1+6,44717067575548i</v>
      </c>
      <c r="AH217" s="32">
        <f t="shared" si="236"/>
        <v>6.52426315550817</v>
      </c>
      <c r="AI217" s="32">
        <f t="shared" si="237"/>
        <v>1.4169157359369</v>
      </c>
      <c r="AJ217" s="32" t="str">
        <f t="shared" si="218"/>
        <v>1+0,0962777487579487i</v>
      </c>
      <c r="AK217" s="32">
        <f t="shared" si="238"/>
        <v>1.0046240117108</v>
      </c>
      <c r="AL217" s="32">
        <f t="shared" si="239"/>
        <v>0.0959819132092949</v>
      </c>
      <c r="AM217" s="32" t="str">
        <f t="shared" si="219"/>
        <v>1-0,00974306076589417i</v>
      </c>
      <c r="AN217" s="32">
        <f t="shared" si="240"/>
        <v>1.0000474624902</v>
      </c>
      <c r="AO217" s="32">
        <f t="shared" si="241"/>
        <v>-0.00974275248951884</v>
      </c>
      <c r="AP217" s="30" t="str">
        <f t="shared" si="242"/>
        <v>9,1523128096522-37,3802366384755i</v>
      </c>
      <c r="AQ217" s="32">
        <f t="shared" si="243"/>
        <v>31.7056881758354</v>
      </c>
      <c r="AR217" s="31">
        <f t="shared" si="244"/>
        <v>-76.2421516568638</v>
      </c>
      <c r="AS217" t="str">
        <f t="shared" si="220"/>
        <v>-0,000100699300699301</v>
      </c>
      <c r="AT217" t="str">
        <f t="shared" si="221"/>
        <v>0,00137969452461168i</v>
      </c>
      <c r="AU217">
        <f t="shared" si="245"/>
        <v>0.00137969452461168</v>
      </c>
      <c r="AV217">
        <f t="shared" si="246"/>
        <v>1.5707963267949</v>
      </c>
      <c r="AW217" t="str">
        <f t="shared" si="222"/>
        <v>1+0,0706378290496448i</v>
      </c>
      <c r="AX217">
        <f t="shared" si="247"/>
        <v>1.00249174704476</v>
      </c>
      <c r="AY217">
        <f t="shared" si="248"/>
        <v>0.0705206922768056</v>
      </c>
      <c r="AZ217" t="str">
        <f t="shared" si="223"/>
        <v>1+3,3770894015862i</v>
      </c>
      <c r="BA217">
        <f t="shared" si="249"/>
        <v>3.52203532439779</v>
      </c>
      <c r="BB217">
        <f t="shared" si="250"/>
        <v>1.28290941144677</v>
      </c>
      <c r="BC217" s="30" t="str">
        <f t="shared" si="251"/>
        <v>-0,240128699113532+0,0899488340042942i</v>
      </c>
      <c r="BD217" s="32">
        <f t="shared" si="252"/>
        <v>-11.820871694448</v>
      </c>
      <c r="BE217" s="31">
        <f t="shared" si="253"/>
        <v>159.464756737711</v>
      </c>
      <c r="BF217" s="30" t="str">
        <f t="shared" si="254"/>
        <v>0,436318482086646+1,86894482090345i</v>
      </c>
      <c r="BG217" s="68">
        <f t="shared" si="255"/>
        <v>5.6624046065105</v>
      </c>
      <c r="BH217" s="31">
        <f t="shared" si="256"/>
        <v>76.8592514345688</v>
      </c>
      <c r="BI217" s="30" t="str">
        <f t="shared" si="209"/>
        <v>1,16457573157357+9,79930746222389i</v>
      </c>
      <c r="BJ217" s="68">
        <f t="shared" si="257"/>
        <v>19.8848164813874</v>
      </c>
      <c r="BK217" s="31">
        <f t="shared" si="210"/>
        <v>83.2226050808468</v>
      </c>
      <c r="BL217" s="32">
        <f t="shared" si="258"/>
        <v>5.6624046065105</v>
      </c>
      <c r="BM217" s="31">
        <f t="shared" si="259"/>
        <v>76.8592514345688</v>
      </c>
      <c r="BO217">
        <f t="shared" si="260"/>
        <v>0</v>
      </c>
      <c r="BP217">
        <f t="shared" si="261"/>
        <v>0</v>
      </c>
    </row>
    <row r="218" spans="14:68">
      <c r="N218" s="7">
        <v>100</v>
      </c>
      <c r="O218" s="18">
        <f t="shared" si="211"/>
        <v>1000</v>
      </c>
      <c r="P218" s="86" t="str">
        <f t="shared" si="212"/>
        <v>75</v>
      </c>
      <c r="Q218" s="4" t="str">
        <f t="shared" si="213"/>
        <v>1+10,2625360017267i</v>
      </c>
      <c r="R218" s="4">
        <f t="shared" si="224"/>
        <v>10.3111417984012</v>
      </c>
      <c r="S218" s="4">
        <f t="shared" si="225"/>
        <v>1.47366118000131</v>
      </c>
      <c r="T218" s="4" t="str">
        <f t="shared" si="214"/>
        <v>1+0,098520345616576i</v>
      </c>
      <c r="U218" s="4">
        <f t="shared" si="226"/>
        <v>1.00484140962662</v>
      </c>
      <c r="V218" s="4">
        <f t="shared" si="227"/>
        <v>0.0982034345444615</v>
      </c>
      <c r="W218" t="str">
        <f t="shared" si="215"/>
        <v>1-0,0516791991515521i</v>
      </c>
      <c r="X218" s="4">
        <f t="shared" si="228"/>
        <v>1.00133447939485</v>
      </c>
      <c r="Y218" s="4">
        <f t="shared" si="229"/>
        <v>-0.0516332655068793</v>
      </c>
      <c r="Z218" t="str">
        <f t="shared" si="216"/>
        <v>0,999991836734694+0,0162170295061021i</v>
      </c>
      <c r="AA218" s="4">
        <f t="shared" si="230"/>
        <v>1.00012332518646</v>
      </c>
      <c r="AB218" s="4">
        <f t="shared" si="231"/>
        <v>0.0162157404306539</v>
      </c>
      <c r="AC218" s="67" t="str">
        <f t="shared" si="232"/>
        <v>0,93041179025287-7,2583618877254i</v>
      </c>
      <c r="AD218" s="68">
        <f t="shared" si="233"/>
        <v>17.2875528542345</v>
      </c>
      <c r="AE218" s="31">
        <f t="shared" si="234"/>
        <v>-82.6953853976358</v>
      </c>
      <c r="AF218" s="32" t="str">
        <f t="shared" si="235"/>
        <v>249,914648392112</v>
      </c>
      <c r="AG218" s="32" t="str">
        <f t="shared" si="217"/>
        <v>1+6,59734457253857i</v>
      </c>
      <c r="AH218" s="32">
        <f t="shared" si="236"/>
        <v>6.67270225686746</v>
      </c>
      <c r="AI218" s="32">
        <f t="shared" si="237"/>
        <v>1.42036528316229</v>
      </c>
      <c r="AJ218" s="32" t="str">
        <f t="shared" si="218"/>
        <v>1+0,098520345616576i</v>
      </c>
      <c r="AK218" s="32">
        <f t="shared" si="238"/>
        <v>1.00484140962662</v>
      </c>
      <c r="AL218" s="32">
        <f t="shared" si="239"/>
        <v>0.0982034345444615</v>
      </c>
      <c r="AM218" s="32" t="str">
        <f t="shared" si="219"/>
        <v>1-0,00997000580510507i</v>
      </c>
      <c r="AN218" s="32">
        <f t="shared" si="240"/>
        <v>1.00004969927287</v>
      </c>
      <c r="AO218" s="32">
        <f t="shared" si="241"/>
        <v>-0.00996967548190416</v>
      </c>
      <c r="AP218" s="30" t="str">
        <f t="shared" si="242"/>
        <v>8,89747191880422-36,5696610338516i</v>
      </c>
      <c r="AQ218" s="32">
        <f t="shared" si="243"/>
        <v>31.5121814699755</v>
      </c>
      <c r="AR218" s="31">
        <f t="shared" si="244"/>
        <v>-76.3255140872446</v>
      </c>
      <c r="AS218" t="str">
        <f t="shared" si="220"/>
        <v>-0,000100699300699301</v>
      </c>
      <c r="AT218" t="str">
        <f t="shared" si="221"/>
        <v>0,00141183173852325i</v>
      </c>
      <c r="AU218">
        <f t="shared" si="245"/>
        <v>0.00141183173852325</v>
      </c>
      <c r="AV218">
        <f t="shared" si="246"/>
        <v>1.5707963267949</v>
      </c>
      <c r="AW218" t="str">
        <f t="shared" si="222"/>
        <v>1+0,0722831954564274i</v>
      </c>
      <c r="AX218">
        <f t="shared" si="247"/>
        <v>1.00260902666263</v>
      </c>
      <c r="AY218">
        <f t="shared" si="248"/>
        <v>0.0721576987765131</v>
      </c>
      <c r="AZ218" t="str">
        <f t="shared" si="223"/>
        <v>1+3,45575191894877i</v>
      </c>
      <c r="BA218">
        <f t="shared" si="249"/>
        <v>3.59752989220633</v>
      </c>
      <c r="BB218">
        <f t="shared" si="250"/>
        <v>1.28911770882925</v>
      </c>
      <c r="BC218" s="30" t="str">
        <f t="shared" si="251"/>
        <v>-0,240072524564542+0,088678493917266i</v>
      </c>
      <c r="BD218" s="32">
        <f t="shared" si="252"/>
        <v>-11.8376737050743</v>
      </c>
      <c r="BE218" s="31">
        <f t="shared" si="253"/>
        <v>159.72667241222</v>
      </c>
      <c r="BF218" s="30" t="str">
        <f t="shared" si="254"/>
        <v>0,420294293139351+1,82504077887178i</v>
      </c>
      <c r="BG218" s="68">
        <f t="shared" si="255"/>
        <v>5.44987914916019</v>
      </c>
      <c r="BH218" s="31">
        <f t="shared" si="256"/>
        <v>77.0312870145841</v>
      </c>
      <c r="BI218" s="30" t="str">
        <f t="shared" si="209"/>
        <v>1,10690391775744+9,56838525629704i</v>
      </c>
      <c r="BJ218" s="68">
        <f t="shared" si="257"/>
        <v>19.6745077649012</v>
      </c>
      <c r="BK218" s="31">
        <f t="shared" si="210"/>
        <v>83.4011583249754</v>
      </c>
      <c r="BL218" s="32">
        <f t="shared" si="258"/>
        <v>5.44987914916019</v>
      </c>
      <c r="BM218" s="31">
        <f t="shared" si="259"/>
        <v>77.0312870145841</v>
      </c>
      <c r="BO218">
        <f t="shared" si="260"/>
        <v>0</v>
      </c>
      <c r="BP218">
        <f t="shared" si="261"/>
        <v>0</v>
      </c>
    </row>
    <row r="219" spans="14:68">
      <c r="N219" s="7">
        <v>1</v>
      </c>
      <c r="O219" s="18">
        <f>10^(3+(N219/100))</f>
        <v>1023.29299228075</v>
      </c>
      <c r="P219" s="86" t="str">
        <f t="shared" si="212"/>
        <v>75</v>
      </c>
      <c r="Q219" s="4" t="str">
        <f t="shared" si="213"/>
        <v>1+10,5015811735958i</v>
      </c>
      <c r="R219" s="4">
        <f t="shared" si="224"/>
        <v>10.5490856070857</v>
      </c>
      <c r="S219" s="4">
        <f t="shared" si="225"/>
        <v>1.47585883112778</v>
      </c>
      <c r="T219" s="4" t="str">
        <f t="shared" si="214"/>
        <v>1+0,10081517926652i</v>
      </c>
      <c r="U219" s="4">
        <f t="shared" si="226"/>
        <v>1.00506900279062</v>
      </c>
      <c r="V219" s="4">
        <f t="shared" si="227"/>
        <v>0.100475695363516</v>
      </c>
      <c r="W219" t="str">
        <f t="shared" si="215"/>
        <v>1-0,0528829623384645i</v>
      </c>
      <c r="X219" s="4">
        <f t="shared" si="228"/>
        <v>1.00139732759065</v>
      </c>
      <c r="Y219" s="4">
        <f t="shared" si="229"/>
        <v>-0.0528337472599437</v>
      </c>
      <c r="Z219" t="str">
        <f t="shared" si="216"/>
        <v>0,999991452011853+0,0165947726492044i</v>
      </c>
      <c r="AA219" s="4">
        <f t="shared" si="230"/>
        <v>1.00012913694985</v>
      </c>
      <c r="AB219" s="4">
        <f t="shared" si="231"/>
        <v>0.0165933913895972</v>
      </c>
      <c r="AC219" s="67" t="str">
        <f t="shared" si="232"/>
        <v>0,899012323246515-7,09801399082339i</v>
      </c>
      <c r="AD219" s="68">
        <f t="shared" si="233"/>
        <v>17.0918534819293</v>
      </c>
      <c r="AE219" s="31">
        <f t="shared" si="234"/>
        <v>-82.7815309210496</v>
      </c>
      <c r="AF219" s="32" t="str">
        <f t="shared" si="235"/>
        <v>249,914648392112</v>
      </c>
      <c r="AG219" s="32" t="str">
        <f t="shared" si="217"/>
        <v>1+6,75101646874015i</v>
      </c>
      <c r="AH219" s="32">
        <f t="shared" si="236"/>
        <v>6.82467752800092</v>
      </c>
      <c r="AI219" s="32">
        <f t="shared" si="237"/>
        <v>1.42373979839133</v>
      </c>
      <c r="AJ219" s="32" t="str">
        <f t="shared" si="218"/>
        <v>1+0,10081517926652i</v>
      </c>
      <c r="AK219" s="32">
        <f t="shared" si="238"/>
        <v>1.00506900279062</v>
      </c>
      <c r="AL219" s="32">
        <f t="shared" si="239"/>
        <v>0.100475695363516</v>
      </c>
      <c r="AM219" s="32" t="str">
        <f t="shared" si="219"/>
        <v>1-0,0102022370733624i</v>
      </c>
      <c r="AN219" s="32">
        <f t="shared" si="240"/>
        <v>1.00005204146649</v>
      </c>
      <c r="AO219" s="32">
        <f t="shared" si="241"/>
        <v>-0.0102018831266704</v>
      </c>
      <c r="AP219" s="30" t="str">
        <f t="shared" si="242"/>
        <v>8,65359663732373-35,7750718244291i</v>
      </c>
      <c r="AQ219" s="32">
        <f t="shared" si="243"/>
        <v>31.3185611385958</v>
      </c>
      <c r="AR219" s="31">
        <f t="shared" si="244"/>
        <v>-76.4019731309022</v>
      </c>
      <c r="AS219" t="str">
        <f t="shared" si="220"/>
        <v>-0,000100699300699301</v>
      </c>
      <c r="AT219" t="str">
        <f t="shared" si="221"/>
        <v>0,00144471752431039i</v>
      </c>
      <c r="AU219">
        <f t="shared" si="245"/>
        <v>0.00144471752431039</v>
      </c>
      <c r="AV219">
        <f t="shared" si="246"/>
        <v>1.5707963267949</v>
      </c>
      <c r="AW219" t="str">
        <f t="shared" si="222"/>
        <v>1+0,0739668873702219i</v>
      </c>
      <c r="AX219">
        <f t="shared" si="247"/>
        <v>1.00273181879665</v>
      </c>
      <c r="AY219">
        <f t="shared" si="248"/>
        <v>0.0738324350333333</v>
      </c>
      <c r="AZ219" t="str">
        <f t="shared" si="223"/>
        <v>1+3,53624672172103i</v>
      </c>
      <c r="BA219">
        <f t="shared" si="249"/>
        <v>3.67492052660772</v>
      </c>
      <c r="BB219">
        <f t="shared" si="250"/>
        <v>1.29520631889299</v>
      </c>
      <c r="BC219" s="30" t="str">
        <f t="shared" si="251"/>
        <v>-0,24001373075329+0,0874547915944845i</v>
      </c>
      <c r="BD219" s="32">
        <f t="shared" si="252"/>
        <v>-11.8538666173263</v>
      </c>
      <c r="BE219" s="31">
        <f t="shared" si="253"/>
        <v>159.97956875266</v>
      </c>
      <c r="BF219" s="30" t="str">
        <f t="shared" si="254"/>
        <v>0,404980032606616+1,78224375424697i</v>
      </c>
      <c r="BG219" s="68">
        <f t="shared" si="255"/>
        <v>5.23798686460304</v>
      </c>
      <c r="BH219" s="31">
        <f t="shared" si="256"/>
        <v>77.1980378316102</v>
      </c>
      <c r="BI219" s="30" t="str">
        <f t="shared" si="209"/>
        <v>1,05171943732497+9,34330694700802i</v>
      </c>
      <c r="BJ219" s="68">
        <f t="shared" si="257"/>
        <v>19.4646945212695</v>
      </c>
      <c r="BK219" s="31">
        <f t="shared" si="210"/>
        <v>83.5775956217575</v>
      </c>
      <c r="BL219" s="32">
        <f t="shared" si="258"/>
        <v>5.23798686460304</v>
      </c>
      <c r="BM219" s="31">
        <f t="shared" si="259"/>
        <v>77.1980378316102</v>
      </c>
      <c r="BO219">
        <f t="shared" si="260"/>
        <v>0</v>
      </c>
      <c r="BP219">
        <f t="shared" si="261"/>
        <v>0</v>
      </c>
    </row>
    <row r="220" spans="14:68">
      <c r="N220" s="7">
        <v>2</v>
      </c>
      <c r="O220" s="18">
        <f t="shared" ref="O220:O283" si="262">10^(3+(N220/100))</f>
        <v>1047.1285480509</v>
      </c>
      <c r="P220" s="86" t="str">
        <f t="shared" si="212"/>
        <v>75</v>
      </c>
      <c r="Q220" s="4" t="str">
        <f t="shared" si="213"/>
        <v>1+10,7461944228081i</v>
      </c>
      <c r="R220" s="4">
        <f t="shared" si="224"/>
        <v>10.7926222287631</v>
      </c>
      <c r="S220" s="4">
        <f t="shared" si="225"/>
        <v>1.47800734676072</v>
      </c>
      <c r="T220" s="4" t="str">
        <f t="shared" si="214"/>
        <v>1+0,103163466458958i</v>
      </c>
      <c r="U220" s="4">
        <f t="shared" si="226"/>
        <v>1.00530726686513</v>
      </c>
      <c r="V220" s="4">
        <f t="shared" si="227"/>
        <v>0.102799806541191</v>
      </c>
      <c r="W220" t="str">
        <f t="shared" si="215"/>
        <v>1-0,0541147647719981i</v>
      </c>
      <c r="X220" s="4">
        <f t="shared" si="228"/>
        <v>1.00146313350334</v>
      </c>
      <c r="Y220" s="4">
        <f t="shared" si="229"/>
        <v>-0.0540620340255028</v>
      </c>
      <c r="Z220" t="str">
        <f t="shared" si="216"/>
        <v>0,999991049157583+0,0169813145604233i</v>
      </c>
      <c r="AA220" s="4">
        <f t="shared" si="230"/>
        <v>1.00013522257717</v>
      </c>
      <c r="AB220" s="4">
        <f t="shared" si="231"/>
        <v>0.0169798345248838</v>
      </c>
      <c r="AC220" s="67" t="str">
        <f t="shared" si="232"/>
        <v>0,868998378613857-6,94116287061838i</v>
      </c>
      <c r="AD220" s="68">
        <f t="shared" si="233"/>
        <v>16.8961870674545</v>
      </c>
      <c r="AE220" s="31">
        <f t="shared" si="234"/>
        <v>-82.8639872458067</v>
      </c>
      <c r="AF220" s="32" t="str">
        <f t="shared" si="235"/>
        <v>249,914648392112</v>
      </c>
      <c r="AG220" s="32" t="str">
        <f t="shared" si="217"/>
        <v>1+6,90826784323379i</v>
      </c>
      <c r="AH220" s="32">
        <f t="shared" si="236"/>
        <v>6.98026966483803</v>
      </c>
      <c r="AI220" s="32">
        <f t="shared" si="237"/>
        <v>1.42704076326321</v>
      </c>
      <c r="AJ220" s="32" t="str">
        <f t="shared" si="218"/>
        <v>1+0,103163466458958i</v>
      </c>
      <c r="AK220" s="32">
        <f t="shared" si="238"/>
        <v>1.00530726686513</v>
      </c>
      <c r="AL220" s="32">
        <f t="shared" si="239"/>
        <v>0.102799806541191</v>
      </c>
      <c r="AM220" s="32" t="str">
        <f t="shared" si="219"/>
        <v>1-0,0104398777027587i</v>
      </c>
      <c r="AN220" s="32">
        <f t="shared" si="240"/>
        <v>1.00005449403842</v>
      </c>
      <c r="AO220" s="32">
        <f t="shared" si="241"/>
        <v>-0.0104394984431614</v>
      </c>
      <c r="AP220" s="30" t="str">
        <f t="shared" si="242"/>
        <v>8,42023639061213-34,9962652080324i</v>
      </c>
      <c r="AQ220" s="32">
        <f t="shared" si="243"/>
        <v>31.1248399860907</v>
      </c>
      <c r="AR220" s="31">
        <f t="shared" si="244"/>
        <v>-76.4715570795644</v>
      </c>
      <c r="AS220" t="str">
        <f t="shared" si="220"/>
        <v>-0,000100699300699301</v>
      </c>
      <c r="AT220" t="str">
        <f t="shared" si="221"/>
        <v>0,00147836931845203i</v>
      </c>
      <c r="AU220">
        <f t="shared" si="245"/>
        <v>0.00147836931845203</v>
      </c>
      <c r="AV220">
        <f t="shared" si="246"/>
        <v>1.5707963267949</v>
      </c>
      <c r="AW220" t="str">
        <f t="shared" si="222"/>
        <v>1+0,0756897975067683i</v>
      </c>
      <c r="AX220">
        <f t="shared" si="247"/>
        <v>1.0028603818312</v>
      </c>
      <c r="AY220">
        <f t="shared" si="248"/>
        <v>0.0755457514159188</v>
      </c>
      <c r="AZ220" t="str">
        <f t="shared" si="223"/>
        <v>1+3,61861648931294i</v>
      </c>
      <c r="BA220">
        <f t="shared" si="249"/>
        <v>3.75424896573569</v>
      </c>
      <c r="BB220">
        <f t="shared" si="250"/>
        <v>1.30117666350189</v>
      </c>
      <c r="BC220" s="30" t="str">
        <f t="shared" si="251"/>
        <v>-0,239952196932137+0,0862770512818948i</v>
      </c>
      <c r="BD220" s="32">
        <f t="shared" si="252"/>
        <v>-11.8694778225652</v>
      </c>
      <c r="BE220" s="31">
        <f t="shared" si="253"/>
        <v>160.223478503296</v>
      </c>
      <c r="BF220" s="30" t="str">
        <f t="shared" si="254"/>
        <v>0,390344994865466+1,74052189774421i</v>
      </c>
      <c r="BG220" s="68">
        <f t="shared" si="255"/>
        <v>5.02670924488937</v>
      </c>
      <c r="BH220" s="31">
        <f t="shared" si="256"/>
        <v>77.3594912574892</v>
      </c>
      <c r="BI220" s="30" t="str">
        <f t="shared" si="209"/>
        <v>0,998920347412894+9,12390388796561i</v>
      </c>
      <c r="BJ220" s="68">
        <f t="shared" si="257"/>
        <v>19.2553621635255</v>
      </c>
      <c r="BK220" s="31">
        <f t="shared" si="210"/>
        <v>83.7519214237315</v>
      </c>
      <c r="BL220" s="32">
        <f t="shared" si="258"/>
        <v>5.02670924488937</v>
      </c>
      <c r="BM220" s="31">
        <f t="shared" si="259"/>
        <v>77.3594912574892</v>
      </c>
      <c r="BO220">
        <f t="shared" si="260"/>
        <v>0</v>
      </c>
      <c r="BP220">
        <f t="shared" si="261"/>
        <v>0</v>
      </c>
    </row>
    <row r="221" spans="14:68">
      <c r="N221" s="7">
        <v>3</v>
      </c>
      <c r="O221" s="18">
        <f t="shared" si="262"/>
        <v>1071.51930523761</v>
      </c>
      <c r="P221" s="86" t="str">
        <f t="shared" si="212"/>
        <v>75</v>
      </c>
      <c r="Q221" s="4" t="str">
        <f t="shared" si="213"/>
        <v>1+10,9965054465461i</v>
      </c>
      <c r="R221" s="4">
        <f t="shared" si="224"/>
        <v>11.0418808196755</v>
      </c>
      <c r="S221" s="4">
        <f t="shared" si="225"/>
        <v>1.48010778668535</v>
      </c>
      <c r="T221" s="4" t="str">
        <f t="shared" si="214"/>
        <v>1+0,105566452286843i</v>
      </c>
      <c r="U221" s="4">
        <f t="shared" si="226"/>
        <v>1.00555669946972</v>
      </c>
      <c r="V221" s="4">
        <f t="shared" si="227"/>
        <v>0.105176899867654</v>
      </c>
      <c r="W221" t="str">
        <f t="shared" si="215"/>
        <v>1-0,0553752595701072i</v>
      </c>
      <c r="X221" s="4">
        <f t="shared" si="228"/>
        <v>1.00153203611889</v>
      </c>
      <c r="Y221" s="4">
        <f t="shared" si="229"/>
        <v>-0.0553187622242363</v>
      </c>
      <c r="Z221" t="str">
        <f t="shared" si="216"/>
        <v>0,999990627317376+0,0173768601893963i</v>
      </c>
      <c r="AA221" s="4">
        <f t="shared" si="230"/>
        <v>1.00014159497175</v>
      </c>
      <c r="AB221" s="4">
        <f t="shared" si="231"/>
        <v>0.0173752743148555</v>
      </c>
      <c r="AC221" s="67" t="str">
        <f t="shared" si="232"/>
        <v>0,84030961793774-6,78774285368676i</v>
      </c>
      <c r="AD221" s="68">
        <f t="shared" si="233"/>
        <v>16.7005625608942</v>
      </c>
      <c r="AE221" s="31">
        <f t="shared" si="234"/>
        <v>-82.9427984262935</v>
      </c>
      <c r="AF221" s="32" t="str">
        <f t="shared" si="235"/>
        <v>249,914648392112</v>
      </c>
      <c r="AG221" s="32" t="str">
        <f t="shared" si="217"/>
        <v>1+7,06918207277964i</v>
      </c>
      <c r="AH221" s="32">
        <f t="shared" si="236"/>
        <v>7.13956127350337</v>
      </c>
      <c r="AI221" s="32">
        <f t="shared" si="237"/>
        <v>1.43026964009531</v>
      </c>
      <c r="AJ221" s="32" t="str">
        <f t="shared" si="218"/>
        <v>1+0,105566452286843i</v>
      </c>
      <c r="AK221" s="32">
        <f t="shared" si="238"/>
        <v>1.00555669946972</v>
      </c>
      <c r="AL221" s="32">
        <f t="shared" si="239"/>
        <v>0.105176899867654</v>
      </c>
      <c r="AM221" s="32" t="str">
        <f t="shared" si="219"/>
        <v>1-0,0106830536935011i</v>
      </c>
      <c r="AN221" s="32">
        <f t="shared" si="240"/>
        <v>1.00005706219006</v>
      </c>
      <c r="AO221" s="32">
        <f t="shared" si="241"/>
        <v>-0.0106826473107732</v>
      </c>
      <c r="AP221" s="30" t="str">
        <f t="shared" si="242"/>
        <v>8,19695727889089-34,2330322495723i</v>
      </c>
      <c r="AQ221" s="32">
        <f t="shared" si="243"/>
        <v>30.9310306431585</v>
      </c>
      <c r="AR221" s="31">
        <f t="shared" si="244"/>
        <v>-76.5342920834041</v>
      </c>
      <c r="AS221" t="str">
        <f t="shared" si="220"/>
        <v>-0,000100699300699301</v>
      </c>
      <c r="AT221" t="str">
        <f t="shared" si="221"/>
        <v>0,00151280496357484i</v>
      </c>
      <c r="AU221">
        <f t="shared" si="245"/>
        <v>0.00151280496357484</v>
      </c>
      <c r="AV221">
        <f t="shared" si="246"/>
        <v>1.5707963267949</v>
      </c>
      <c r="AW221" t="str">
        <f t="shared" si="222"/>
        <v>1+0,0774528393758255i</v>
      </c>
      <c r="AX221">
        <f t="shared" si="247"/>
        <v>1.00299498619254</v>
      </c>
      <c r="AY221">
        <f t="shared" si="248"/>
        <v>0.0772985160898911</v>
      </c>
      <c r="AZ221" t="str">
        <f t="shared" si="223"/>
        <v>1+3,70290489526552i</v>
      </c>
      <c r="BA221">
        <f t="shared" si="249"/>
        <v>3.83555793377982</v>
      </c>
      <c r="BB221">
        <f t="shared" si="250"/>
        <v>1.30703020503309</v>
      </c>
      <c r="BC221" s="30" t="str">
        <f t="shared" si="251"/>
        <v>-0,239887796919396+0,0851446197052824i</v>
      </c>
      <c r="BD221" s="32">
        <f t="shared" si="252"/>
        <v>-11.884534026386</v>
      </c>
      <c r="BE221" s="31">
        <f t="shared" si="253"/>
        <v>160.45843570994</v>
      </c>
      <c r="BF221" s="30" t="str">
        <f t="shared" si="254"/>
        <v>0,376359760957144+1,69984452208029i</v>
      </c>
      <c r="BG221" s="68">
        <f t="shared" si="255"/>
        <v>4.81602853450825</v>
      </c>
      <c r="BH221" s="31">
        <f t="shared" si="256"/>
        <v>77.5156372836464</v>
      </c>
      <c r="BI221" s="30" t="str">
        <f t="shared" si="209"/>
        <v>0,948408489172959+8,91001349847214i</v>
      </c>
      <c r="BJ221" s="68">
        <f t="shared" si="257"/>
        <v>19.0464966167725</v>
      </c>
      <c r="BK221" s="31">
        <f t="shared" si="210"/>
        <v>83.9241436265358</v>
      </c>
      <c r="BL221" s="32">
        <f t="shared" si="258"/>
        <v>4.81602853450825</v>
      </c>
      <c r="BM221" s="31">
        <f t="shared" si="259"/>
        <v>77.5156372836464</v>
      </c>
      <c r="BO221">
        <f t="shared" si="260"/>
        <v>0</v>
      </c>
      <c r="BP221">
        <f t="shared" si="261"/>
        <v>0</v>
      </c>
    </row>
    <row r="222" spans="14:68">
      <c r="N222" s="7">
        <v>4</v>
      </c>
      <c r="O222" s="18">
        <f t="shared" si="262"/>
        <v>1096.47819614319</v>
      </c>
      <c r="P222" s="86" t="str">
        <f t="shared" si="212"/>
        <v>75</v>
      </c>
      <c r="Q222" s="4" t="str">
        <f t="shared" si="213"/>
        <v>1+11,2526469630278i</v>
      </c>
      <c r="R222" s="4">
        <f t="shared" si="224"/>
        <v>11.2969935679604</v>
      </c>
      <c r="S222" s="4">
        <f t="shared" si="225"/>
        <v>1.48216119040722</v>
      </c>
      <c r="T222" s="4" t="str">
        <f t="shared" si="214"/>
        <v>1+0,108025410845067i</v>
      </c>
      <c r="U222" s="4">
        <f t="shared" si="226"/>
        <v>1.00581782117253</v>
      </c>
      <c r="V222" s="4">
        <f t="shared" si="227"/>
        <v>0.107608128195048</v>
      </c>
      <c r="W222" t="str">
        <f t="shared" si="215"/>
        <v>1-0,0566651150638185i</v>
      </c>
      <c r="X222" s="4">
        <f t="shared" si="228"/>
        <v>1.00160418093436</v>
      </c>
      <c r="Y222" s="4">
        <f t="shared" si="229"/>
        <v>-0.0566045823024053</v>
      </c>
      <c r="Z222" t="str">
        <f t="shared" si="216"/>
        <v>0,999990185596452+0,0177816192596517i</v>
      </c>
      <c r="AA222" s="4">
        <f t="shared" si="230"/>
        <v>1.00014826764471</v>
      </c>
      <c r="AB222" s="4">
        <f t="shared" si="231"/>
        <v>0.0177799199780554</v>
      </c>
      <c r="AC222" s="67" t="str">
        <f t="shared" si="232"/>
        <v>0,812888225940106-6,63768895035316i</v>
      </c>
      <c r="AD222" s="68">
        <f t="shared" si="233"/>
        <v>16.5049889959981</v>
      </c>
      <c r="AE222" s="31">
        <f t="shared" si="234"/>
        <v>-83.0180072233922</v>
      </c>
      <c r="AF222" s="32" t="str">
        <f t="shared" si="235"/>
        <v>249,914648392112</v>
      </c>
      <c r="AG222" s="32" t="str">
        <f t="shared" si="217"/>
        <v>1+7,23384447623215i</v>
      </c>
      <c r="AH222" s="32">
        <f t="shared" si="236"/>
        <v>7.30263691458876</v>
      </c>
      <c r="AI222" s="32">
        <f t="shared" si="237"/>
        <v>1.43342787143521</v>
      </c>
      <c r="AJ222" s="32" t="str">
        <f t="shared" si="218"/>
        <v>1+0,108025410845067i</v>
      </c>
      <c r="AK222" s="32">
        <f t="shared" si="238"/>
        <v>1.00581782117253</v>
      </c>
      <c r="AL222" s="32">
        <f t="shared" si="239"/>
        <v>0.107608128195048</v>
      </c>
      <c r="AM222" s="32" t="str">
        <f t="shared" si="219"/>
        <v>1-0,0109318939807187i</v>
      </c>
      <c r="AN222" s="32">
        <f t="shared" si="240"/>
        <v>1.00005975136789</v>
      </c>
      <c r="AO222" s="32">
        <f t="shared" si="241"/>
        <v>-0.0109314585351856</v>
      </c>
      <c r="AP222" s="30" t="str">
        <f t="shared" si="242"/>
        <v>7,98334162199632-33,4851595658451i</v>
      </c>
      <c r="AQ222" s="32">
        <f t="shared" si="243"/>
        <v>30.7371455881179</v>
      </c>
      <c r="AR222" s="31">
        <f t="shared" si="244"/>
        <v>-76.5902021207682</v>
      </c>
      <c r="AS222" t="str">
        <f t="shared" si="220"/>
        <v>-0,000100699300699301</v>
      </c>
      <c r="AT222" t="str">
        <f t="shared" si="221"/>
        <v>0,00154804271791368i</v>
      </c>
      <c r="AU222">
        <f t="shared" si="245"/>
        <v>0.00154804271791368</v>
      </c>
      <c r="AV222">
        <f t="shared" si="246"/>
        <v>1.5707963267949</v>
      </c>
      <c r="AW222" t="str">
        <f t="shared" si="222"/>
        <v>1+0,0792569477655292i</v>
      </c>
      <c r="AX222">
        <f t="shared" si="247"/>
        <v>1.00313591490341</v>
      </c>
      <c r="AY222">
        <f t="shared" si="248"/>
        <v>0.07909161529167</v>
      </c>
      <c r="AZ222" t="str">
        <f t="shared" si="223"/>
        <v>1+3,78915663040731i</v>
      </c>
      <c r="BA222">
        <f t="shared" si="249"/>
        <v>3.91889116584777</v>
      </c>
      <c r="BB222">
        <f t="shared" si="250"/>
        <v>1.31276844194151</v>
      </c>
      <c r="BC222" s="30" t="str">
        <f t="shared" si="251"/>
        <v>-0,239820398867498+0,0840568655931051i</v>
      </c>
      <c r="BD222" s="32">
        <f t="shared" si="252"/>
        <v>-11.8990612631772</v>
      </c>
      <c r="BE222" s="31">
        <f t="shared" si="253"/>
        <v>160.684475450128</v>
      </c>
      <c r="BF222" s="30" t="str">
        <f t="shared" si="254"/>
        <v>0,362996149369025+1,66018204798214i</v>
      </c>
      <c r="BG222" s="68">
        <f t="shared" si="255"/>
        <v>4.60592773282088</v>
      </c>
      <c r="BH222" s="31">
        <f t="shared" si="256"/>
        <v>77.6664682267359</v>
      </c>
      <c r="BI222" s="30" t="str">
        <f t="shared" si="209"/>
        <v>0,900089384907264+8,70147899692678i</v>
      </c>
      <c r="BJ222" s="68">
        <f t="shared" si="257"/>
        <v>18.8380843249408</v>
      </c>
      <c r="BK222" s="31">
        <f t="shared" si="210"/>
        <v>84.0942733293599</v>
      </c>
      <c r="BL222" s="32">
        <f t="shared" si="258"/>
        <v>4.60592773282088</v>
      </c>
      <c r="BM222" s="31">
        <f t="shared" si="259"/>
        <v>77.6664682267359</v>
      </c>
      <c r="BO222">
        <f t="shared" si="260"/>
        <v>0</v>
      </c>
      <c r="BP222">
        <f t="shared" si="261"/>
        <v>0</v>
      </c>
    </row>
    <row r="223" spans="14:68">
      <c r="N223" s="7">
        <v>5</v>
      </c>
      <c r="O223" s="18">
        <f t="shared" si="262"/>
        <v>1122.01845430196</v>
      </c>
      <c r="P223" s="86" t="str">
        <f t="shared" si="212"/>
        <v>75</v>
      </c>
      <c r="Q223" s="4" t="str">
        <f t="shared" si="213"/>
        <v>1+11,5147547818755i</v>
      </c>
      <c r="R223" s="4">
        <f t="shared" si="224"/>
        <v>11.5580957638672</v>
      </c>
      <c r="S223" s="4">
        <f t="shared" si="225"/>
        <v>1.48416857736494</v>
      </c>
      <c r="T223" s="4" t="str">
        <f t="shared" si="214"/>
        <v>1+0,110541645906005i</v>
      </c>
      <c r="U223" s="4">
        <f t="shared" si="226"/>
        <v>1.00609117652408</v>
      </c>
      <c r="V223" s="4">
        <f t="shared" si="227"/>
        <v>0.110094665564745</v>
      </c>
      <c r="W223" t="str">
        <f t="shared" si="215"/>
        <v>1-0,0579850151515876i</v>
      </c>
      <c r="X223" s="4">
        <f t="shared" si="228"/>
        <v>1.00167972026099</v>
      </c>
      <c r="Y223" s="4">
        <f t="shared" si="229"/>
        <v>-0.0579201590020918</v>
      </c>
      <c r="Z223" t="str">
        <f t="shared" si="216"/>
        <v>0,999989723057863+0,0181958063798059i</v>
      </c>
      <c r="AA223" s="4">
        <f t="shared" si="230"/>
        <v>1.00015525474356</v>
      </c>
      <c r="AB223" s="4">
        <f t="shared" si="231"/>
        <v>0.0181939855820182</v>
      </c>
      <c r="AC223" s="67" t="str">
        <f t="shared" si="232"/>
        <v>0,786678812557225-6,49093689251984i</v>
      </c>
      <c r="AD223" s="68">
        <f t="shared" si="233"/>
        <v>16.3094755073108</v>
      </c>
      <c r="AE223" s="31">
        <f t="shared" si="234"/>
        <v>-83.0896551311004</v>
      </c>
      <c r="AF223" s="32" t="str">
        <f t="shared" si="235"/>
        <v>249,914648392112</v>
      </c>
      <c r="AG223" s="32" t="str">
        <f t="shared" si="217"/>
        <v>1+7,40234235977714i</v>
      </c>
      <c r="AH223" s="32">
        <f t="shared" si="236"/>
        <v>7.46958314843278</v>
      </c>
      <c r="AI223" s="32">
        <f t="shared" si="237"/>
        <v>1.43651687967442</v>
      </c>
      <c r="AJ223" s="32" t="str">
        <f t="shared" si="218"/>
        <v>1+0,110541645906005i</v>
      </c>
      <c r="AK223" s="32">
        <f t="shared" si="238"/>
        <v>1.00609117652408</v>
      </c>
      <c r="AL223" s="32">
        <f t="shared" si="239"/>
        <v>0.110094665564745</v>
      </c>
      <c r="AM223" s="32" t="str">
        <f t="shared" si="219"/>
        <v>1-0,0111865305028255i</v>
      </c>
      <c r="AN223" s="32">
        <f t="shared" si="240"/>
        <v>1.00006256727501</v>
      </c>
      <c r="AO223" s="32">
        <f t="shared" si="241"/>
        <v>-0.011186063916107</v>
      </c>
      <c r="AP223" s="30" t="str">
        <f t="shared" si="242"/>
        <v>7,77898750137227-32,7524299656416i</v>
      </c>
      <c r="AQ223" s="32">
        <f t="shared" si="243"/>
        <v>30.5431971681619</v>
      </c>
      <c r="AR223" s="31">
        <f t="shared" si="244"/>
        <v>-76.6393089726391</v>
      </c>
      <c r="AS223" t="str">
        <f t="shared" si="220"/>
        <v>-0,000100699300699301</v>
      </c>
      <c r="AT223" t="str">
        <f t="shared" si="221"/>
        <v>0,00158410126499231i</v>
      </c>
      <c r="AU223">
        <f t="shared" si="245"/>
        <v>0.00158410126499231</v>
      </c>
      <c r="AV223">
        <f t="shared" si="246"/>
        <v>1.5707963267949</v>
      </c>
      <c r="AW223" t="str">
        <f t="shared" si="222"/>
        <v>1+0,0811030792380271i</v>
      </c>
      <c r="AX223">
        <f t="shared" si="247"/>
        <v>1.00328346416249</v>
      </c>
      <c r="AY223">
        <f t="shared" si="248"/>
        <v>0.0809259535989826</v>
      </c>
      <c r="AZ223" t="str">
        <f t="shared" si="223"/>
        <v>1+3,87741742654993i</v>
      </c>
      <c r="BA223">
        <f t="shared" si="249"/>
        <v>4.00429343326798</v>
      </c>
      <c r="BB223">
        <f t="shared" si="250"/>
        <v>1.31839290453689</v>
      </c>
      <c r="BC223" s="30" t="str">
        <f t="shared" si="251"/>
        <v>-0,239749865022511+0,0830131792021588i</v>
      </c>
      <c r="BD223" s="32">
        <f t="shared" si="252"/>
        <v>-11.9130849121227</v>
      </c>
      <c r="BE223" s="31">
        <f t="shared" si="253"/>
        <v>160.901633575664</v>
      </c>
      <c r="BF223" s="30" t="str">
        <f t="shared" si="254"/>
        <v>0,350227168321989+1,62150595309262i</v>
      </c>
      <c r="BG223" s="68">
        <f t="shared" si="255"/>
        <v>4.39639059518807</v>
      </c>
      <c r="BH223" s="31">
        <f t="shared" si="256"/>
        <v>77.811978444564</v>
      </c>
      <c r="BI223" s="30" t="str">
        <f t="shared" si="209"/>
        <v>0,85387213457816+8,49814914688459i</v>
      </c>
      <c r="BJ223" s="68">
        <f t="shared" si="257"/>
        <v>18.6301122560392</v>
      </c>
      <c r="BK223" s="31">
        <f t="shared" si="210"/>
        <v>84.2623246030253</v>
      </c>
      <c r="BL223" s="32">
        <f t="shared" si="258"/>
        <v>4.39639059518807</v>
      </c>
      <c r="BM223" s="31">
        <f t="shared" si="259"/>
        <v>77.811978444564</v>
      </c>
      <c r="BO223">
        <f t="shared" si="260"/>
        <v>0</v>
      </c>
      <c r="BP223">
        <f t="shared" si="261"/>
        <v>0</v>
      </c>
    </row>
    <row r="224" spans="14:68">
      <c r="N224" s="7">
        <v>6</v>
      </c>
      <c r="O224" s="18">
        <f t="shared" si="262"/>
        <v>1148.15362149688</v>
      </c>
      <c r="P224" s="86" t="str">
        <f t="shared" si="212"/>
        <v>75</v>
      </c>
      <c r="Q224" s="4" t="str">
        <f t="shared" si="213"/>
        <v>1+11,7829678761246i</v>
      </c>
      <c r="R224" s="4">
        <f t="shared" si="224"/>
        <v>11.8253258716107</v>
      </c>
      <c r="S224" s="4">
        <f t="shared" si="225"/>
        <v>1.48613094715401</v>
      </c>
      <c r="T224" s="4" t="str">
        <f t="shared" si="214"/>
        <v>1+0,113116491610796i</v>
      </c>
      <c r="U224" s="4">
        <f t="shared" si="226"/>
        <v>1.00637733513545</v>
      </c>
      <c r="V224" s="4">
        <f t="shared" si="227"/>
        <v>0.112637707313463</v>
      </c>
      <c r="W224" t="str">
        <f t="shared" si="215"/>
        <v>1-0,0593356596619131i</v>
      </c>
      <c r="X224" s="4">
        <f t="shared" si="228"/>
        <v>1.00175881354122</v>
      </c>
      <c r="Y224" s="4">
        <f t="shared" si="229"/>
        <v>-0.0592661716337786</v>
      </c>
      <c r="Z224" t="str">
        <f t="shared" si="216"/>
        <v>0,999989238720502+0,0186196411573529i</v>
      </c>
      <c r="AA224" s="4">
        <f t="shared" si="230"/>
        <v>1.00016257108214</v>
      </c>
      <c r="AB224" s="4">
        <f t="shared" si="231"/>
        <v>0.0186176901544803</v>
      </c>
      <c r="AC224" s="67" t="str">
        <f t="shared" si="232"/>
        <v>0,761628318062646-6,34742316741859i</v>
      </c>
      <c r="AD224" s="68">
        <f t="shared" si="233"/>
        <v>16.1140313474572</v>
      </c>
      <c r="AE224" s="31">
        <f t="shared" si="234"/>
        <v>-83.1577824052608</v>
      </c>
      <c r="AF224" s="32" t="str">
        <f t="shared" si="235"/>
        <v>249,914648392112</v>
      </c>
      <c r="AG224" s="32" t="str">
        <f t="shared" si="217"/>
        <v>1+7,57476506322294i</v>
      </c>
      <c r="AH224" s="32">
        <f t="shared" si="236"/>
        <v>7.64048858143397</v>
      </c>
      <c r="AI224" s="32">
        <f t="shared" si="237"/>
        <v>1.43953806671996</v>
      </c>
      <c r="AJ224" s="32" t="str">
        <f t="shared" si="218"/>
        <v>1+0,113116491610796i</v>
      </c>
      <c r="AK224" s="32">
        <f t="shared" si="238"/>
        <v>1.00637733513545</v>
      </c>
      <c r="AL224" s="32">
        <f t="shared" si="239"/>
        <v>0.112637707313463</v>
      </c>
      <c r="AM224" s="32" t="str">
        <f t="shared" si="219"/>
        <v>1-0,0114470982714763i</v>
      </c>
      <c r="AN224" s="32">
        <f t="shared" si="240"/>
        <v>1.00006551588325</v>
      </c>
      <c r="AO224" s="32">
        <f t="shared" si="241"/>
        <v>-0.0114465983165688</v>
      </c>
      <c r="AP224" s="30" t="str">
        <f t="shared" si="242"/>
        <v>7,58350830110807-32,0346230472591i</v>
      </c>
      <c r="AQ224" s="32">
        <f t="shared" si="243"/>
        <v>30.3491976205536</v>
      </c>
      <c r="AR224" s="31">
        <f t="shared" si="244"/>
        <v>-76.6816322017052</v>
      </c>
      <c r="AS224" t="str">
        <f t="shared" si="220"/>
        <v>-0,000100699300699301</v>
      </c>
      <c r="AT224" t="str">
        <f t="shared" si="221"/>
        <v>0,00162099972352971i</v>
      </c>
      <c r="AU224">
        <f t="shared" si="245"/>
        <v>0.00162099972352971</v>
      </c>
      <c r="AV224">
        <f t="shared" si="246"/>
        <v>1.5707963267949</v>
      </c>
      <c r="AW224" t="str">
        <f t="shared" si="222"/>
        <v>1+0,082992212636664i</v>
      </c>
      <c r="AX224">
        <f t="shared" si="247"/>
        <v>1.00343794394986</v>
      </c>
      <c r="AY224">
        <f t="shared" si="248"/>
        <v>0.0828024541973368</v>
      </c>
      <c r="AZ224" t="str">
        <f t="shared" si="223"/>
        <v>1+3,96773408073582i</v>
      </c>
      <c r="BA224">
        <f t="shared" si="249"/>
        <v>4.09181056934855</v>
      </c>
      <c r="BB224">
        <f t="shared" si="250"/>
        <v>1.32390515097124</v>
      </c>
      <c r="BC224" s="30" t="str">
        <f t="shared" si="251"/>
        <v>-0,239676051474798+0,0820129718452552i</v>
      </c>
      <c r="BD224" s="32">
        <f t="shared" si="252"/>
        <v>-11.9266297145092</v>
      </c>
      <c r="BE224" s="31">
        <f t="shared" si="253"/>
        <v>161.109946467449</v>
      </c>
      <c r="BF224" s="30" t="str">
        <f t="shared" si="254"/>
        <v>0,338026969554775+1,58378872361236i</v>
      </c>
      <c r="BG224" s="68">
        <f t="shared" si="255"/>
        <v>4.18740163294796</v>
      </c>
      <c r="BH224" s="31">
        <f t="shared" si="256"/>
        <v>77.9521640621885</v>
      </c>
      <c r="BI224" s="30" t="str">
        <f t="shared" si="209"/>
        <v>0,809669312112288+8,29987801523766i</v>
      </c>
      <c r="BJ224" s="68">
        <f t="shared" si="257"/>
        <v>18.4225679060444</v>
      </c>
      <c r="BK224" s="31">
        <f t="shared" si="210"/>
        <v>84.4283142657441</v>
      </c>
      <c r="BL224" s="32">
        <f t="shared" si="258"/>
        <v>4.18740163294796</v>
      </c>
      <c r="BM224" s="31">
        <f t="shared" si="259"/>
        <v>77.9521640621885</v>
      </c>
      <c r="BO224">
        <f t="shared" si="260"/>
        <v>0</v>
      </c>
      <c r="BP224">
        <f t="shared" si="261"/>
        <v>0</v>
      </c>
    </row>
    <row r="225" spans="14:68">
      <c r="N225" s="7">
        <v>7</v>
      </c>
      <c r="O225" s="18">
        <f t="shared" si="262"/>
        <v>1174.89755493953</v>
      </c>
      <c r="P225" s="86" t="str">
        <f t="shared" si="212"/>
        <v>75</v>
      </c>
      <c r="Q225" s="4" t="str">
        <f t="shared" si="213"/>
        <v>1+12,0574284559076i</v>
      </c>
      <c r="R225" s="4">
        <f t="shared" si="224"/>
        <v>12.0988256028976</v>
      </c>
      <c r="S225" s="4">
        <f t="shared" si="225"/>
        <v>1.48804927976027</v>
      </c>
      <c r="T225" s="4" t="str">
        <f t="shared" si="214"/>
        <v>1+0,115751313176713i</v>
      </c>
      <c r="U225" s="4">
        <f t="shared" si="226"/>
        <v>1.00667689280232</v>
      </c>
      <c r="V225" s="4">
        <f t="shared" si="227"/>
        <v>0.11523847015621</v>
      </c>
      <c r="W225" t="str">
        <f t="shared" si="215"/>
        <v>1-0,0607177647243916i</v>
      </c>
      <c r="X225" s="4">
        <f t="shared" si="228"/>
        <v>1.00184162768031</v>
      </c>
      <c r="Y225" s="4">
        <f t="shared" si="229"/>
        <v>-0.0606433143510405</v>
      </c>
      <c r="Z225" t="str">
        <f t="shared" si="216"/>
        <v>0,999988731557024+0,0190533483151016i</v>
      </c>
      <c r="AA225" s="4">
        <f t="shared" si="230"/>
        <v>1.00017023217202</v>
      </c>
      <c r="AB225" s="4">
        <f t="shared" si="231"/>
        <v>0.019051257797054</v>
      </c>
      <c r="AC225" s="67" t="str">
        <f t="shared" si="232"/>
        <v>0,737685921211675-6,20708504756346i</v>
      </c>
      <c r="AD225" s="68">
        <f t="shared" si="233"/>
        <v>15.9186659046048</v>
      </c>
      <c r="AE225" s="31">
        <f t="shared" si="234"/>
        <v>-83.2224280944369</v>
      </c>
      <c r="AF225" s="32" t="str">
        <f t="shared" si="235"/>
        <v>249,914648392112</v>
      </c>
      <c r="AG225" s="32" t="str">
        <f t="shared" si="217"/>
        <v>1+7,75120400736914i</v>
      </c>
      <c r="AH225" s="32">
        <f t="shared" si="236"/>
        <v>7.81544391342267</v>
      </c>
      <c r="AI225" s="32">
        <f t="shared" si="237"/>
        <v>1.44249281371972</v>
      </c>
      <c r="AJ225" s="32" t="str">
        <f t="shared" si="218"/>
        <v>1+0,115751313176713i</v>
      </c>
      <c r="AK225" s="32">
        <f t="shared" si="238"/>
        <v>1.00667689280232</v>
      </c>
      <c r="AL225" s="32">
        <f t="shared" si="239"/>
        <v>0.11523847015621</v>
      </c>
      <c r="AM225" s="32" t="str">
        <f t="shared" si="219"/>
        <v>1-0,0117137354431509i</v>
      </c>
      <c r="AN225" s="32">
        <f t="shared" si="240"/>
        <v>1.0000686034458</v>
      </c>
      <c r="AO225" s="32">
        <f t="shared" si="241"/>
        <v>-0.0117131997338005</v>
      </c>
      <c r="AP225" s="30" t="str">
        <f t="shared" si="242"/>
        <v>7,39653224967661-31,3315157554783i</v>
      </c>
      <c r="AQ225" s="32">
        <f t="shared" si="243"/>
        <v>30.1551590937746</v>
      </c>
      <c r="AR225" s="31">
        <f t="shared" si="244"/>
        <v>-76.7171891359362</v>
      </c>
      <c r="AS225" t="str">
        <f t="shared" si="220"/>
        <v>-0,000100699300699301</v>
      </c>
      <c r="AT225" t="str">
        <f t="shared" si="221"/>
        <v>0,001658757657577i</v>
      </c>
      <c r="AU225">
        <f t="shared" si="245"/>
        <v>0.001658757657577</v>
      </c>
      <c r="AV225">
        <f t="shared" si="246"/>
        <v>1.5707963267949</v>
      </c>
      <c r="AW225" t="str">
        <f t="shared" si="222"/>
        <v>1+0,0849253496049727i</v>
      </c>
      <c r="AX225">
        <f t="shared" si="247"/>
        <v>1.00359967865954</v>
      </c>
      <c r="AY225">
        <f t="shared" si="248"/>
        <v>0.0847220591416609</v>
      </c>
      <c r="AZ225" t="str">
        <f t="shared" si="223"/>
        <v>1+4,0601544800505i</v>
      </c>
      <c r="BA225">
        <f t="shared" si="249"/>
        <v>4.18148949560729</v>
      </c>
      <c r="BB225">
        <f t="shared" si="250"/>
        <v>1.3293067634338</v>
      </c>
      <c r="BC225" s="30" t="str">
        <f t="shared" si="251"/>
        <v>-0,239598807900628+0,0810556754200615i</v>
      </c>
      <c r="BD225" s="32">
        <f t="shared" si="252"/>
        <v>-11.9397197922076</v>
      </c>
      <c r="BE225" s="31">
        <f t="shared" si="253"/>
        <v>161.309450802477</v>
      </c>
      <c r="BF225" s="30" t="str">
        <f t="shared" si="254"/>
        <v>0,326370803592627+1,5470038085257i</v>
      </c>
      <c r="BG225" s="68">
        <f t="shared" si="255"/>
        <v>3.97894611239711</v>
      </c>
      <c r="BH225" s="31">
        <f t="shared" si="256"/>
        <v>78.0870227080403</v>
      </c>
      <c r="BI225" s="30" t="str">
        <f t="shared" si="209"/>
        <v>0,767396861873526+8,10652474199615i</v>
      </c>
      <c r="BJ225" s="68">
        <f t="shared" si="257"/>
        <v>18.215439301567</v>
      </c>
      <c r="BK225" s="31">
        <f t="shared" si="210"/>
        <v>84.5922616665411</v>
      </c>
      <c r="BL225" s="32">
        <f t="shared" si="258"/>
        <v>3.97894611239711</v>
      </c>
      <c r="BM225" s="31">
        <f t="shared" si="259"/>
        <v>78.0870227080403</v>
      </c>
      <c r="BO225">
        <f t="shared" si="260"/>
        <v>0</v>
      </c>
      <c r="BP225">
        <f t="shared" si="261"/>
        <v>0</v>
      </c>
    </row>
    <row r="226" spans="14:68">
      <c r="N226" s="7">
        <v>8</v>
      </c>
      <c r="O226" s="18">
        <f t="shared" si="262"/>
        <v>1202.26443461741</v>
      </c>
      <c r="P226" s="86" t="str">
        <f t="shared" si="212"/>
        <v>75</v>
      </c>
      <c r="Q226" s="4" t="str">
        <f t="shared" si="213"/>
        <v>1+12,3382820438567i</v>
      </c>
      <c r="R226" s="4">
        <f t="shared" si="224"/>
        <v>12.3787399921703</v>
      </c>
      <c r="S226" s="4">
        <f t="shared" si="225"/>
        <v>1.48992453580193</v>
      </c>
      <c r="T226" s="4" t="str">
        <f t="shared" si="214"/>
        <v>1+0,118447507621024i</v>
      </c>
      <c r="U226" s="4">
        <f t="shared" si="226"/>
        <v>1.00699047267669</v>
      </c>
      <c r="V226" s="4">
        <f t="shared" si="227"/>
        <v>0.117898192243983</v>
      </c>
      <c r="W226" t="str">
        <f t="shared" si="215"/>
        <v>1-0,0621320631494213i</v>
      </c>
      <c r="X226" s="4">
        <f t="shared" si="228"/>
        <v>1.00192833739305</v>
      </c>
      <c r="Y226" s="4">
        <f t="shared" si="229"/>
        <v>-0.0620522964271167</v>
      </c>
      <c r="Z226" t="str">
        <f t="shared" si="216"/>
        <v>0,999988200491667+0,0194971578103277i</v>
      </c>
      <c r="AA226" s="4">
        <f t="shared" si="230"/>
        <v>1.00017825425533</v>
      </c>
      <c r="AB226" s="4">
        <f t="shared" si="231"/>
        <v>0.0194949178014184</v>
      </c>
      <c r="AC226" s="67" t="str">
        <f t="shared" si="232"/>
        <v>0,714802950372676-6,06986061716378i</v>
      </c>
      <c r="AD226" s="68">
        <f t="shared" si="233"/>
        <v>15.7233887201213</v>
      </c>
      <c r="AE226" s="31">
        <f t="shared" si="234"/>
        <v>-83.2836300729809</v>
      </c>
      <c r="AF226" s="32" t="str">
        <f t="shared" si="235"/>
        <v>249,914648392112</v>
      </c>
      <c r="AG226" s="32" t="str">
        <f t="shared" si="217"/>
        <v>1+7,93175274247931i</v>
      </c>
      <c r="AH226" s="32">
        <f t="shared" si="236"/>
        <v>7.99454198611953</v>
      </c>
      <c r="AI226" s="32">
        <f t="shared" si="237"/>
        <v>1.44538248083807</v>
      </c>
      <c r="AJ226" s="32" t="str">
        <f t="shared" si="218"/>
        <v>1+0,118447507621024i</v>
      </c>
      <c r="AK226" s="32">
        <f t="shared" si="238"/>
        <v>1.00699047267669</v>
      </c>
      <c r="AL226" s="32">
        <f t="shared" si="239"/>
        <v>0.117898192243983</v>
      </c>
      <c r="AM226" s="32" t="str">
        <f t="shared" si="219"/>
        <v>1-0,0119865833924069i</v>
      </c>
      <c r="AN226" s="32">
        <f t="shared" si="240"/>
        <v>1.00007183651047</v>
      </c>
      <c r="AO226" s="32">
        <f t="shared" si="241"/>
        <v>-0.0119860093717229</v>
      </c>
      <c r="AP226" s="30" t="str">
        <f t="shared" si="242"/>
        <v>7,21770196384208-30,6428829000086i</v>
      </c>
      <c r="AQ226" s="32">
        <f t="shared" si="243"/>
        <v>29.9610936686317</v>
      </c>
      <c r="AR226" s="31">
        <f t="shared" si="244"/>
        <v>-76.7459948565719</v>
      </c>
      <c r="AS226" t="str">
        <f t="shared" si="220"/>
        <v>-0,000100699300699301</v>
      </c>
      <c r="AT226" t="str">
        <f t="shared" si="221"/>
        <v>0,00169739508689057i</v>
      </c>
      <c r="AU226">
        <f t="shared" si="245"/>
        <v>0.00169739508689057</v>
      </c>
      <c r="AV226">
        <f t="shared" si="246"/>
        <v>1.5707963267949</v>
      </c>
      <c r="AW226" t="str">
        <f t="shared" si="222"/>
        <v>1+0,0869035151177614i</v>
      </c>
      <c r="AX226">
        <f t="shared" si="247"/>
        <v>1.00376900776016</v>
      </c>
      <c r="AY226">
        <f t="shared" si="248"/>
        <v>0.0866857296122792</v>
      </c>
      <c r="AZ226" t="str">
        <f t="shared" si="223"/>
        <v>1+4,15472762701297i</v>
      </c>
      <c r="BA226">
        <f t="shared" si="249"/>
        <v>4.27337824848969</v>
      </c>
      <c r="BB226">
        <f t="shared" si="250"/>
        <v>1.33459934454992</v>
      </c>
      <c r="BC226" s="30" t="str">
        <f t="shared" si="251"/>
        <v>-0,239517977294569+0,0801407419382117i</v>
      </c>
      <c r="BD226" s="32">
        <f t="shared" si="252"/>
        <v>-11.9523786672081</v>
      </c>
      <c r="BE226" s="31">
        <f t="shared" si="253"/>
        <v>161.500183332841</v>
      </c>
      <c r="BF226" s="30" t="str">
        <f t="shared" si="254"/>
        <v>0,315234976483583+1,51112557626552i</v>
      </c>
      <c r="BG226" s="68">
        <f t="shared" si="255"/>
        <v>3.77101005291322</v>
      </c>
      <c r="BH226" s="31">
        <f t="shared" si="256"/>
        <v>78.2165532598599</v>
      </c>
      <c r="BI226" s="30" t="str">
        <f t="shared" si="209"/>
        <v>0,726973995637936+7,91795332115559i</v>
      </c>
      <c r="BJ226" s="68">
        <f t="shared" si="257"/>
        <v>18.0087150014236</v>
      </c>
      <c r="BK226" s="31">
        <f t="shared" si="210"/>
        <v>84.7541884762689</v>
      </c>
      <c r="BL226" s="32">
        <f t="shared" si="258"/>
        <v>3.77101005291322</v>
      </c>
      <c r="BM226" s="31">
        <f t="shared" si="259"/>
        <v>78.2165532598599</v>
      </c>
      <c r="BO226">
        <f t="shared" si="260"/>
        <v>0</v>
      </c>
      <c r="BP226">
        <f t="shared" si="261"/>
        <v>0</v>
      </c>
    </row>
    <row r="227" spans="14:68">
      <c r="N227" s="7">
        <v>9</v>
      </c>
      <c r="O227" s="18">
        <f t="shared" si="262"/>
        <v>1230.26877081238</v>
      </c>
      <c r="P227" s="86" t="str">
        <f t="shared" si="212"/>
        <v>75</v>
      </c>
      <c r="Q227" s="4" t="str">
        <f t="shared" si="213"/>
        <v>1+12,6256775522621i</v>
      </c>
      <c r="R227" s="4">
        <f t="shared" si="224"/>
        <v>12.6652174736044</v>
      </c>
      <c r="S227" s="4">
        <f t="shared" si="225"/>
        <v>1.49175765677921</v>
      </c>
      <c r="T227" s="4" t="str">
        <f t="shared" si="214"/>
        <v>1+0,121206504501716i</v>
      </c>
      <c r="U227" s="4">
        <f t="shared" si="226"/>
        <v>1.00731872648806</v>
      </c>
      <c r="V227" s="4">
        <f t="shared" si="227"/>
        <v>0.120618133193917</v>
      </c>
      <c r="W227" t="str">
        <f t="shared" si="215"/>
        <v>1-0,0635793048167482i</v>
      </c>
      <c r="X227" s="4">
        <f t="shared" si="228"/>
        <v>1.00201912556646</v>
      </c>
      <c r="Y227" s="4">
        <f t="shared" si="229"/>
        <v>-0.0634938425330877</v>
      </c>
      <c r="Z227" t="str">
        <f t="shared" si="216"/>
        <v>0,999987644397972+0,0199513049567003i</v>
      </c>
      <c r="AA227" s="4">
        <f t="shared" si="230"/>
        <v>1.00018665433912</v>
      </c>
      <c r="AB227" s="4">
        <f t="shared" si="231"/>
        <v>0.0199489047680741</v>
      </c>
      <c r="AC227" s="67" t="str">
        <f t="shared" si="232"/>
        <v>0,692932797604434-5,93568879524519i</v>
      </c>
      <c r="AD227" s="68">
        <f t="shared" si="233"/>
        <v>15.5282095064488</v>
      </c>
      <c r="AE227" s="31">
        <f t="shared" si="234"/>
        <v>-83.3414250763488</v>
      </c>
      <c r="AF227" s="32" t="str">
        <f t="shared" si="235"/>
        <v>249,914648392112</v>
      </c>
      <c r="AG227" s="32" t="str">
        <f t="shared" si="217"/>
        <v>1+8,11650699788275i</v>
      </c>
      <c r="AH227" s="32">
        <f t="shared" si="236"/>
        <v>8.17787783270695</v>
      </c>
      <c r="AI227" s="32">
        <f t="shared" si="237"/>
        <v>1.44820840707811</v>
      </c>
      <c r="AJ227" s="32" t="str">
        <f t="shared" si="218"/>
        <v>1+0,121206504501716i</v>
      </c>
      <c r="AK227" s="32">
        <f t="shared" si="238"/>
        <v>1.00731872648806</v>
      </c>
      <c r="AL227" s="32">
        <f t="shared" si="239"/>
        <v>0.120618133193917</v>
      </c>
      <c r="AM227" s="32" t="str">
        <f t="shared" si="219"/>
        <v>1-0,0122657867868389i</v>
      </c>
      <c r="AN227" s="32">
        <f t="shared" si="240"/>
        <v>1.00007522193358</v>
      </c>
      <c r="AO227" s="32">
        <f t="shared" si="241"/>
        <v>-0.012265171715093</v>
      </c>
      <c r="AP227" s="30" t="str">
        <f t="shared" si="242"/>
        <v>7,04667399604167-29,9684976373728i</v>
      </c>
      <c r="AQ227" s="32">
        <f t="shared" si="243"/>
        <v>29.7670133793335</v>
      </c>
      <c r="AR227" s="31">
        <f t="shared" si="244"/>
        <v>-76.7680621904595</v>
      </c>
      <c r="AS227" t="str">
        <f t="shared" si="220"/>
        <v>-0,000100699300699301</v>
      </c>
      <c r="AT227" t="str">
        <f t="shared" si="221"/>
        <v>0,00173693249754691i</v>
      </c>
      <c r="AU227">
        <f t="shared" si="245"/>
        <v>0.00173693249754691</v>
      </c>
      <c r="AV227">
        <f t="shared" si="246"/>
        <v>1.5707963267949</v>
      </c>
      <c r="AW227" t="str">
        <f t="shared" si="222"/>
        <v>1+0,08892775802457i</v>
      </c>
      <c r="AX227">
        <f t="shared" si="247"/>
        <v>1.00394628648513</v>
      </c>
      <c r="AY227">
        <f t="shared" si="248"/>
        <v>0.0886944461643029</v>
      </c>
      <c r="AZ227" t="str">
        <f t="shared" si="223"/>
        <v>1+4,25150366555763i</v>
      </c>
      <c r="BA227">
        <f t="shared" si="249"/>
        <v>4.36752600659114</v>
      </c>
      <c r="BB227">
        <f t="shared" si="250"/>
        <v>1.33978451397956</v>
      </c>
      <c r="BC227" s="30" t="str">
        <f t="shared" si="251"/>
        <v>-0,239433395692482+0,0792676430537595i</v>
      </c>
      <c r="BD227" s="32">
        <f t="shared" si="252"/>
        <v>-11.9646292820951</v>
      </c>
      <c r="BE227" s="31">
        <f t="shared" si="253"/>
        <v>161.68218067655</v>
      </c>
      <c r="BF227" s="30" t="str">
        <f t="shared" si="254"/>
        <v>0,304596807982574+1,47612927368012i</v>
      </c>
      <c r="BG227" s="68">
        <f t="shared" si="255"/>
        <v>3.56358022435367</v>
      </c>
      <c r="BH227" s="31">
        <f t="shared" si="256"/>
        <v>78.3407556002013</v>
      </c>
      <c r="BI227" s="30" t="str">
        <f t="shared" si="209"/>
        <v>0,688323090366533+7,73403239215273i</v>
      </c>
      <c r="BJ227" s="68">
        <f t="shared" si="257"/>
        <v>17.8023840972383</v>
      </c>
      <c r="BK227" s="31">
        <f t="shared" si="210"/>
        <v>84.9141184860906</v>
      </c>
      <c r="BL227" s="32">
        <f t="shared" si="258"/>
        <v>3.56358022435367</v>
      </c>
      <c r="BM227" s="31">
        <f t="shared" si="259"/>
        <v>78.3407556002013</v>
      </c>
      <c r="BO227">
        <f t="shared" si="260"/>
        <v>0</v>
      </c>
      <c r="BP227">
        <f t="shared" si="261"/>
        <v>0</v>
      </c>
    </row>
    <row r="228" spans="14:68">
      <c r="N228" s="7">
        <v>10</v>
      </c>
      <c r="O228" s="18">
        <f t="shared" si="262"/>
        <v>1258.92541179417</v>
      </c>
      <c r="P228" s="86" t="str">
        <f t="shared" si="212"/>
        <v>75</v>
      </c>
      <c r="Q228" s="4" t="str">
        <f t="shared" si="213"/>
        <v>1+12,9197673620262i</v>
      </c>
      <c r="R228" s="4">
        <f t="shared" si="224"/>
        <v>12.9584099599016</v>
      </c>
      <c r="S228" s="4">
        <f t="shared" si="225"/>
        <v>1.49354956533046</v>
      </c>
      <c r="T228" s="4" t="str">
        <f t="shared" si="214"/>
        <v>1+0,124029766675452i</v>
      </c>
      <c r="U228" s="4">
        <f t="shared" si="226"/>
        <v>1.00766233581571</v>
      </c>
      <c r="V228" s="4">
        <f t="shared" si="227"/>
        <v>0.123399574089481</v>
      </c>
      <c r="W228" t="str">
        <f t="shared" si="215"/>
        <v>1-0,0650602570730607i</v>
      </c>
      <c r="X228" s="4">
        <f t="shared" si="228"/>
        <v>1.00211418363898</v>
      </c>
      <c r="Y228" s="4">
        <f t="shared" si="229"/>
        <v>-0.0649686930173626</v>
      </c>
      <c r="Z228" t="str">
        <f t="shared" si="216"/>
        <v>0,999987062096388+0,0204160305490478i</v>
      </c>
      <c r="AA228" s="4">
        <f t="shared" si="230"/>
        <v>1.00019545023138</v>
      </c>
      <c r="AB228" s="4">
        <f t="shared" si="231"/>
        <v>0.0204134587277103</v>
      </c>
      <c r="AC228" s="67" t="str">
        <f t="shared" si="232"/>
        <v>0,6720308356328-5,8045093557125i</v>
      </c>
      <c r="AD228" s="68">
        <f t="shared" si="233"/>
        <v>15.3331381652145</v>
      </c>
      <c r="AE228" s="31">
        <f t="shared" si="234"/>
        <v>-83.3958487387329</v>
      </c>
      <c r="AF228" s="32" t="str">
        <f t="shared" si="235"/>
        <v>249,914648392112</v>
      </c>
      <c r="AG228" s="32" t="str">
        <f t="shared" si="217"/>
        <v>1+8,30556473273114i</v>
      </c>
      <c r="AH228" s="32">
        <f t="shared" si="236"/>
        <v>8.3655487285406</v>
      </c>
      <c r="AI228" s="32">
        <f t="shared" si="237"/>
        <v>1.45097191014724</v>
      </c>
      <c r="AJ228" s="32" t="str">
        <f t="shared" si="218"/>
        <v>1+0,124029766675452i</v>
      </c>
      <c r="AK228" s="32">
        <f t="shared" si="238"/>
        <v>1.00766233581571</v>
      </c>
      <c r="AL228" s="32">
        <f t="shared" si="239"/>
        <v>0.123399574089481</v>
      </c>
      <c r="AM228" s="32" t="str">
        <f t="shared" si="219"/>
        <v>1-0,0125514936637822i</v>
      </c>
      <c r="AN228" s="32">
        <f t="shared" si="240"/>
        <v>1.00007876689448</v>
      </c>
      <c r="AO228" s="32">
        <f t="shared" si="241"/>
        <v>-0.0125508346053358</v>
      </c>
      <c r="AP228" s="30" t="str">
        <f t="shared" si="242"/>
        <v>6,88311838638902-29,3081319181346i</v>
      </c>
      <c r="AQ228" s="32">
        <f t="shared" si="243"/>
        <v>29.572930234548</v>
      </c>
      <c r="AR228" s="31">
        <f t="shared" si="244"/>
        <v>-76.7834017066853</v>
      </c>
      <c r="AS228" t="str">
        <f t="shared" si="220"/>
        <v>-0,000100699300699301</v>
      </c>
      <c r="AT228" t="str">
        <f t="shared" si="221"/>
        <v>0,00177739085280447i</v>
      </c>
      <c r="AU228">
        <f t="shared" si="245"/>
        <v>0.00177739085280447</v>
      </c>
      <c r="AV228">
        <f t="shared" si="246"/>
        <v>1.5707963267949</v>
      </c>
      <c r="AW228" t="str">
        <f t="shared" si="222"/>
        <v>1+0,0909991516057813i</v>
      </c>
      <c r="AX228">
        <f t="shared" si="247"/>
        <v>1.00413188655324</v>
      </c>
      <c r="AY228">
        <f t="shared" si="248"/>
        <v>0.0907492089694531</v>
      </c>
      <c r="AZ228" t="str">
        <f t="shared" si="223"/>
        <v>1+4,35053390762107i</v>
      </c>
      <c r="BA228">
        <f t="shared" si="249"/>
        <v>4.46398311840005</v>
      </c>
      <c r="BB228">
        <f t="shared" si="250"/>
        <v>1.34486390521051</v>
      </c>
      <c r="BC228" s="30" t="str">
        <f t="shared" si="251"/>
        <v>-0,23934489188499+0,0784358695900258i</v>
      </c>
      <c r="BD228" s="32">
        <f t="shared" si="252"/>
        <v>-11.9764940213586</v>
      </c>
      <c r="BE228" s="31">
        <f t="shared" si="253"/>
        <v>161.855479119944</v>
      </c>
      <c r="BF228" s="30" t="str">
        <f t="shared" si="254"/>
        <v>0,294434591160838+1,44199098717259i</v>
      </c>
      <c r="BG228" s="68">
        <f t="shared" si="255"/>
        <v>3.3566441438559</v>
      </c>
      <c r="BH228" s="31">
        <f t="shared" si="256"/>
        <v>78.459630381211</v>
      </c>
      <c r="BI228" s="30" t="str">
        <f t="shared" si="209"/>
        <v>0,651369587036211+7,55463504142447i</v>
      </c>
      <c r="BJ228" s="68">
        <f t="shared" si="257"/>
        <v>17.5964362131893</v>
      </c>
      <c r="BK228" s="31">
        <f t="shared" si="210"/>
        <v>85.0720774132586</v>
      </c>
      <c r="BL228" s="32">
        <f t="shared" si="258"/>
        <v>3.3566441438559</v>
      </c>
      <c r="BM228" s="31">
        <f t="shared" si="259"/>
        <v>78.459630381211</v>
      </c>
      <c r="BO228">
        <f t="shared" si="260"/>
        <v>0</v>
      </c>
      <c r="BP228">
        <f t="shared" si="261"/>
        <v>0</v>
      </c>
    </row>
    <row r="229" spans="14:68">
      <c r="N229" s="7">
        <v>11</v>
      </c>
      <c r="O229" s="18">
        <f t="shared" si="262"/>
        <v>1288.24955169313</v>
      </c>
      <c r="P229" s="86" t="str">
        <f t="shared" si="212"/>
        <v>75</v>
      </c>
      <c r="Q229" s="4" t="str">
        <f t="shared" si="213"/>
        <v>1+13,220707403459i</v>
      </c>
      <c r="R229" s="4">
        <f t="shared" si="224"/>
        <v>13.2584729229227</v>
      </c>
      <c r="S229" s="4">
        <f t="shared" si="225"/>
        <v>1.49530116549398</v>
      </c>
      <c r="T229" s="4" t="str">
        <f t="shared" si="214"/>
        <v>1+0,126918791073206i</v>
      </c>
      <c r="U229" s="4">
        <f t="shared" si="226"/>
        <v>1.00802201341413</v>
      </c>
      <c r="V229" s="4">
        <f t="shared" si="227"/>
        <v>0.126243817448207</v>
      </c>
      <c r="W229" t="str">
        <f t="shared" si="215"/>
        <v>1-0,0665757051388469i</v>
      </c>
      <c r="X229" s="4">
        <f t="shared" si="228"/>
        <v>1.00221371199696</v>
      </c>
      <c r="Y229" s="4">
        <f t="shared" si="229"/>
        <v>-0.0664776041861553</v>
      </c>
      <c r="Z229" t="str">
        <f t="shared" si="216"/>
        <v>0,999986452351776+0,0208915809910303i</v>
      </c>
      <c r="AA229" s="4">
        <f t="shared" si="230"/>
        <v>1.00020466057872</v>
      </c>
      <c r="AB229" s="4">
        <f t="shared" si="231"/>
        <v>0.0208888252652366</v>
      </c>
      <c r="AC229" s="67" t="str">
        <f t="shared" si="232"/>
        <v>0,652054337674671-5,67626294457103i</v>
      </c>
      <c r="AD229" s="68">
        <f t="shared" si="233"/>
        <v>15.1381848055949</v>
      </c>
      <c r="AE229" s="31">
        <f t="shared" si="234"/>
        <v>-83.4469356330879</v>
      </c>
      <c r="AF229" s="32" t="str">
        <f t="shared" si="235"/>
        <v>249,914648392112</v>
      </c>
      <c r="AG229" s="32" t="str">
        <f t="shared" si="217"/>
        <v>1+8,4990261879379i</v>
      </c>
      <c r="AH229" s="32">
        <f t="shared" si="236"/>
        <v>8.55765424303029</v>
      </c>
      <c r="AI229" s="32">
        <f t="shared" si="237"/>
        <v>1.45367428636295</v>
      </c>
      <c r="AJ229" s="32" t="str">
        <f t="shared" si="218"/>
        <v>1+0,126918791073206i</v>
      </c>
      <c r="AK229" s="32">
        <f t="shared" si="238"/>
        <v>1.00802201341413</v>
      </c>
      <c r="AL229" s="32">
        <f t="shared" si="239"/>
        <v>0.126243817448207</v>
      </c>
      <c r="AM229" s="32" t="str">
        <f t="shared" si="219"/>
        <v>1-0,0128438555088045i</v>
      </c>
      <c r="AN229" s="32">
        <f t="shared" si="240"/>
        <v>1.00008247891078</v>
      </c>
      <c r="AO229" s="32">
        <f t="shared" si="241"/>
        <v>-0.0128431493181014</v>
      </c>
      <c r="AP229" s="30" t="str">
        <f t="shared" si="242"/>
        <v>6,72671822030438-28,6615569013157i</v>
      </c>
      <c r="AQ229" s="32">
        <f t="shared" si="243"/>
        <v>29.3788562384506</v>
      </c>
      <c r="AR229" s="31">
        <f t="shared" si="244"/>
        <v>-76.7920217174701</v>
      </c>
      <c r="AS229" t="str">
        <f t="shared" si="220"/>
        <v>-0,000100699300699301</v>
      </c>
      <c r="AT229" t="str">
        <f t="shared" si="221"/>
        <v>0,00181879160421871i</v>
      </c>
      <c r="AU229">
        <f t="shared" si="245"/>
        <v>0.00181879160421871</v>
      </c>
      <c r="AV229">
        <f t="shared" si="246"/>
        <v>1.5707963267949</v>
      </c>
      <c r="AW229" t="str">
        <f t="shared" si="222"/>
        <v>1+0,0931187941416894i</v>
      </c>
      <c r="AX229">
        <f t="shared" si="247"/>
        <v>1.0043261969213</v>
      </c>
      <c r="AY229">
        <f t="shared" si="248"/>
        <v>0.0928510380492673</v>
      </c>
      <c r="AZ229" t="str">
        <f t="shared" si="223"/>
        <v>1+4,45187086034842i</v>
      </c>
      <c r="BA229">
        <f t="shared" si="249"/>
        <v>4.5628011305797</v>
      </c>
      <c r="BB229">
        <f t="shared" si="250"/>
        <v>1.3498391625412</v>
      </c>
      <c r="BC229" s="30" t="str">
        <f t="shared" si="251"/>
        <v>-0,239252287121267+0,077644931063818i</v>
      </c>
      <c r="BD229" s="32">
        <f t="shared" si="252"/>
        <v>-11.9879947334444</v>
      </c>
      <c r="BE229" s="31">
        <f t="shared" si="253"/>
        <v>162.020114431452</v>
      </c>
      <c r="BF229" s="30" t="str">
        <f t="shared" si="254"/>
        <v>0,284727553415314+1,40868760588893i</v>
      </c>
      <c r="BG229" s="68">
        <f t="shared" si="255"/>
        <v>3.15019007215056</v>
      </c>
      <c r="BH229" s="31">
        <f t="shared" si="256"/>
        <v>78.5731787983646</v>
      </c>
      <c r="BI229" s="30" t="str">
        <f t="shared" si="209"/>
        <v>0,616041890756233+7,37963861359738i</v>
      </c>
      <c r="BJ229" s="68">
        <f t="shared" si="257"/>
        <v>17.3908615050062</v>
      </c>
      <c r="BK229" s="31">
        <f t="shared" si="210"/>
        <v>85.2280927139823</v>
      </c>
      <c r="BL229" s="32">
        <f t="shared" si="258"/>
        <v>3.15019007215056</v>
      </c>
      <c r="BM229" s="31">
        <f t="shared" si="259"/>
        <v>78.5731787983646</v>
      </c>
      <c r="BO229">
        <f t="shared" si="260"/>
        <v>0</v>
      </c>
      <c r="BP229">
        <f t="shared" si="261"/>
        <v>0</v>
      </c>
    </row>
    <row r="230" spans="14:68">
      <c r="N230" s="7">
        <v>12</v>
      </c>
      <c r="O230" s="18">
        <f t="shared" si="262"/>
        <v>1318.25673855641</v>
      </c>
      <c r="P230" s="86" t="str">
        <f t="shared" si="212"/>
        <v>75</v>
      </c>
      <c r="Q230" s="4" t="str">
        <f t="shared" si="213"/>
        <v>1+13,5286572389539i</v>
      </c>
      <c r="R230" s="4">
        <f t="shared" si="224"/>
        <v>13.5655654762011</v>
      </c>
      <c r="S230" s="4">
        <f t="shared" si="225"/>
        <v>1.4970133429746</v>
      </c>
      <c r="T230" s="4" t="str">
        <f t="shared" si="214"/>
        <v>1+0,129875109493958i</v>
      </c>
      <c r="U230" s="4">
        <f t="shared" si="226"/>
        <v>1.00839850459333</v>
      </c>
      <c r="V230" s="4">
        <f t="shared" si="227"/>
        <v>0.12915218715421</v>
      </c>
      <c r="W230" t="str">
        <f t="shared" si="215"/>
        <v>1-0,0681264525247323i</v>
      </c>
      <c r="X230" s="4">
        <f t="shared" si="228"/>
        <v>1.00231792038934</v>
      </c>
      <c r="Y230" s="4">
        <f t="shared" si="229"/>
        <v>-0.068021348584598</v>
      </c>
      <c r="Z230" t="str">
        <f t="shared" si="216"/>
        <v>0,999985813870786+0,0213782084257872i</v>
      </c>
      <c r="AA230" s="4">
        <f t="shared" si="230"/>
        <v>1.00021430490586</v>
      </c>
      <c r="AB230" s="4">
        <f t="shared" si="231"/>
        <v>0.0213752556465292</v>
      </c>
      <c r="AC230" s="67" t="str">
        <f t="shared" si="232"/>
        <v>0,632962400053635-5,5508910945155i</v>
      </c>
      <c r="AD230" s="68">
        <f t="shared" si="233"/>
        <v>14.9433597629544</v>
      </c>
      <c r="AE230" s="31">
        <f t="shared" si="234"/>
        <v>-83.4947193136398</v>
      </c>
      <c r="AF230" s="32" t="str">
        <f t="shared" si="235"/>
        <v>249,914648392112</v>
      </c>
      <c r="AG230" s="32" t="str">
        <f t="shared" si="217"/>
        <v>1+8,69699393932752i</v>
      </c>
      <c r="AH230" s="32">
        <f t="shared" si="236"/>
        <v>8.7542962927182</v>
      </c>
      <c r="AI230" s="32">
        <f t="shared" si="237"/>
        <v>1.45631681059585</v>
      </c>
      <c r="AJ230" s="32" t="str">
        <f t="shared" si="218"/>
        <v>1+0,129875109493958i</v>
      </c>
      <c r="AK230" s="32">
        <f t="shared" si="238"/>
        <v>1.00839850459333</v>
      </c>
      <c r="AL230" s="32">
        <f t="shared" si="239"/>
        <v>0.12915218715421</v>
      </c>
      <c r="AM230" s="32" t="str">
        <f t="shared" si="219"/>
        <v>1-0,0131430273360263i</v>
      </c>
      <c r="AN230" s="32">
        <f t="shared" si="240"/>
        <v>1.00008636585425</v>
      </c>
      <c r="AO230" s="32">
        <f t="shared" si="241"/>
        <v>-0.013142270642584</v>
      </c>
      <c r="AP230" s="30" t="str">
        <f t="shared" si="242"/>
        <v>6,57716919264549-28,0285433377909i</v>
      </c>
      <c r="AQ230" s="32">
        <f t="shared" si="243"/>
        <v>29.1848034117744</v>
      </c>
      <c r="AR230" s="31">
        <f t="shared" si="244"/>
        <v>-76.7939282833139</v>
      </c>
      <c r="AS230" t="str">
        <f t="shared" si="220"/>
        <v>-0,000100699300699301</v>
      </c>
      <c r="AT230" t="str">
        <f t="shared" si="221"/>
        <v>0,00186115670301609i</v>
      </c>
      <c r="AU230">
        <f t="shared" si="245"/>
        <v>0.00186115670301609</v>
      </c>
      <c r="AV230">
        <f t="shared" si="246"/>
        <v>1.5707963267949</v>
      </c>
      <c r="AW230" t="str">
        <f t="shared" si="222"/>
        <v>1+0,0952878094948255i</v>
      </c>
      <c r="AX230">
        <f t="shared" si="247"/>
        <v>1.00452962456979</v>
      </c>
      <c r="AY230">
        <f t="shared" si="248"/>
        <v>0.0950009734985553</v>
      </c>
      <c r="AZ230" t="str">
        <f t="shared" si="223"/>
        <v>1+4,55556825393346i</v>
      </c>
      <c r="BA230">
        <f t="shared" si="249"/>
        <v>4.66403281680633</v>
      </c>
      <c r="BB230">
        <f t="shared" si="250"/>
        <v>1.35471193824719</v>
      </c>
      <c r="BC230" s="30" t="str">
        <f t="shared" si="251"/>
        <v>-0,239155394803049+0,0768943552059854i</v>
      </c>
      <c r="BD230" s="32">
        <f t="shared" si="252"/>
        <v>-11.9991527534553</v>
      </c>
      <c r="BE230" s="31">
        <f t="shared" si="253"/>
        <v>162.17612168645</v>
      </c>
      <c r="BF230" s="30" t="str">
        <f t="shared" si="254"/>
        <v>0,275455818851103+1,37619678683934i</v>
      </c>
      <c r="BG230" s="68">
        <f t="shared" si="255"/>
        <v>2.94420700949905</v>
      </c>
      <c r="BH230" s="31">
        <f t="shared" si="256"/>
        <v>78.6814023728101</v>
      </c>
      <c r="BI230" s="30" t="str">
        <f t="shared" si="209"/>
        <v>0,582271272368866+7,2089245318529i</v>
      </c>
      <c r="BJ230" s="68">
        <f t="shared" si="257"/>
        <v>17.185650658319</v>
      </c>
      <c r="BK230" s="31">
        <f t="shared" si="210"/>
        <v>85.382193403136</v>
      </c>
      <c r="BL230" s="32">
        <f t="shared" si="258"/>
        <v>2.94420700949905</v>
      </c>
      <c r="BM230" s="31">
        <f t="shared" si="259"/>
        <v>78.6814023728101</v>
      </c>
      <c r="BO230">
        <f t="shared" si="260"/>
        <v>0</v>
      </c>
      <c r="BP230">
        <f t="shared" si="261"/>
        <v>0</v>
      </c>
    </row>
    <row r="231" spans="14:68">
      <c r="N231" s="7">
        <v>13</v>
      </c>
      <c r="O231" s="18">
        <f t="shared" si="262"/>
        <v>1348.96288259165</v>
      </c>
      <c r="P231" s="86" t="str">
        <f t="shared" si="212"/>
        <v>75</v>
      </c>
      <c r="Q231" s="4" t="str">
        <f t="shared" si="213"/>
        <v>1+13,8437801475898i</v>
      </c>
      <c r="R231" s="4">
        <f t="shared" si="224"/>
        <v>13.8798504593818</v>
      </c>
      <c r="S231" s="4">
        <f t="shared" si="225"/>
        <v>1.49868696541431</v>
      </c>
      <c r="T231" s="4" t="str">
        <f t="shared" si="214"/>
        <v>1+0,132900289416862i</v>
      </c>
      <c r="U231" s="4">
        <f t="shared" si="226"/>
        <v>1.00879258865591</v>
      </c>
      <c r="V231" s="4">
        <f t="shared" si="227"/>
        <v>0.132126028352645</v>
      </c>
      <c r="W231" t="str">
        <f t="shared" si="215"/>
        <v>1-0,0697133214575057i</v>
      </c>
      <c r="X231" s="4">
        <f t="shared" si="228"/>
        <v>1.00242702836099</v>
      </c>
      <c r="Y231" s="4">
        <f t="shared" si="229"/>
        <v>-0.0696007152780894</v>
      </c>
      <c r="Z231" t="str">
        <f t="shared" si="216"/>
        <v>0,999985145299113+0,0218761708696253i</v>
      </c>
      <c r="AA231" s="4">
        <f t="shared" si="230"/>
        <v>1.0002244036569</v>
      </c>
      <c r="AB231" s="4">
        <f t="shared" si="231"/>
        <v>0.0218730069479395</v>
      </c>
      <c r="AC231" s="67" t="str">
        <f t="shared" si="232"/>
        <v>0,614715867547606-5,4283362370787i</v>
      </c>
      <c r="AD231" s="68">
        <f t="shared" si="233"/>
        <v>14.7486736177745</v>
      </c>
      <c r="AE231" s="31">
        <f t="shared" si="234"/>
        <v>-83.5392323609797</v>
      </c>
      <c r="AF231" s="32" t="str">
        <f t="shared" si="235"/>
        <v>249,914648392112</v>
      </c>
      <c r="AG231" s="32" t="str">
        <f t="shared" si="217"/>
        <v>1+8,899572952022i</v>
      </c>
      <c r="AH231" s="32">
        <f t="shared" si="236"/>
        <v>8.95557919558314</v>
      </c>
      <c r="AI231" s="32">
        <f t="shared" si="237"/>
        <v>1.45890073624703</v>
      </c>
      <c r="AJ231" s="32" t="str">
        <f t="shared" si="218"/>
        <v>1+0,132900289416862i</v>
      </c>
      <c r="AK231" s="32">
        <f t="shared" si="238"/>
        <v>1.00879258865591</v>
      </c>
      <c r="AL231" s="32">
        <f t="shared" si="239"/>
        <v>0.132126028352645</v>
      </c>
      <c r="AM231" s="32" t="str">
        <f t="shared" si="219"/>
        <v>1-0,01344916777031i</v>
      </c>
      <c r="AN231" s="32">
        <f t="shared" si="240"/>
        <v>1.00009043596752</v>
      </c>
      <c r="AO231" s="32">
        <f t="shared" si="241"/>
        <v>-0.0134483569626384</v>
      </c>
      <c r="AP231" s="30" t="str">
        <f t="shared" si="242"/>
        <v>6,43417917909395-27,4088619243862i</v>
      </c>
      <c r="AQ231" s="32">
        <f t="shared" si="243"/>
        <v>28.9907838128745</v>
      </c>
      <c r="AR231" s="31">
        <f t="shared" si="244"/>
        <v>-76.7891252223953</v>
      </c>
      <c r="AS231" t="str">
        <f t="shared" si="220"/>
        <v>-0,000100699300699301</v>
      </c>
      <c r="AT231" t="str">
        <f t="shared" si="221"/>
        <v>0,00190450861173271i</v>
      </c>
      <c r="AU231">
        <f t="shared" si="245"/>
        <v>0.00190450861173271</v>
      </c>
      <c r="AV231">
        <f t="shared" si="246"/>
        <v>1.5707963267949</v>
      </c>
      <c r="AW231" t="str">
        <f t="shared" si="222"/>
        <v>1+0,097507347705838i</v>
      </c>
      <c r="AX231">
        <f t="shared" si="247"/>
        <v>1.00474259532311</v>
      </c>
      <c r="AY231">
        <f t="shared" si="248"/>
        <v>0.0972000756978751</v>
      </c>
      <c r="AZ231" t="str">
        <f t="shared" si="223"/>
        <v>1+4,66168107010676i</v>
      </c>
      <c r="BA231">
        <f t="shared" si="249"/>
        <v>4.76773220718107</v>
      </c>
      <c r="BB231">
        <f t="shared" si="250"/>
        <v>1.35948388992561</v>
      </c>
      <c r="BC231" s="30" t="str">
        <f t="shared" si="251"/>
        <v>-0,23905402016879+0,0761836874772232i</v>
      </c>
      <c r="BD231" s="32">
        <f t="shared" si="252"/>
        <v>-12.009988926423</v>
      </c>
      <c r="BE231" s="31">
        <f t="shared" si="253"/>
        <v>162.323535102925</v>
      </c>
      <c r="BF231" s="30" t="str">
        <f t="shared" si="254"/>
        <v>0,266600372008089+1,34449692184212i</v>
      </c>
      <c r="BG231" s="68">
        <f t="shared" si="255"/>
        <v>2.7386846913515</v>
      </c>
      <c r="BH231" s="31">
        <f t="shared" si="256"/>
        <v>78.784302741945</v>
      </c>
      <c r="BI231" s="30" t="str">
        <f t="shared" si="209"/>
        <v>0,549991771705067+7,04237812702835i</v>
      </c>
      <c r="BJ231" s="68">
        <f t="shared" si="257"/>
        <v>16.9807948864515</v>
      </c>
      <c r="BK231" s="31">
        <f t="shared" si="210"/>
        <v>85.5344098805295</v>
      </c>
      <c r="BL231" s="32">
        <f t="shared" si="258"/>
        <v>2.7386846913515</v>
      </c>
      <c r="BM231" s="31">
        <f t="shared" si="259"/>
        <v>78.784302741945</v>
      </c>
      <c r="BO231">
        <f t="shared" si="260"/>
        <v>0</v>
      </c>
      <c r="BP231">
        <f t="shared" si="261"/>
        <v>0</v>
      </c>
    </row>
    <row r="232" spans="14:68">
      <c r="N232" s="7">
        <v>14</v>
      </c>
      <c r="O232" s="18">
        <f t="shared" si="262"/>
        <v>1380.38426460289</v>
      </c>
      <c r="P232" s="86" t="str">
        <f t="shared" si="212"/>
        <v>75</v>
      </c>
      <c r="Q232" s="4" t="str">
        <f t="shared" si="213"/>
        <v>1+14,1662432117041i</v>
      </c>
      <c r="R232" s="4">
        <f t="shared" si="224"/>
        <v>14.201494524632</v>
      </c>
      <c r="S232" s="4">
        <f t="shared" si="225"/>
        <v>1.50032288266617</v>
      </c>
      <c r="T232" s="4" t="str">
        <f t="shared" si="214"/>
        <v>1+0,13599593483236i</v>
      </c>
      <c r="U232" s="4">
        <f t="shared" si="226"/>
        <v>1.00920508039294</v>
      </c>
      <c r="V232" s="4">
        <f t="shared" si="227"/>
        <v>0.135166707303096</v>
      </c>
      <c r="W232" t="str">
        <f t="shared" si="215"/>
        <v>1-0,0713371533160816i</v>
      </c>
      <c r="X232" s="4">
        <f t="shared" si="228"/>
        <v>1.00254126570593</v>
      </c>
      <c r="Y232" s="4">
        <f t="shared" si="229"/>
        <v>-0.071216510133477</v>
      </c>
      <c r="Z232" t="str">
        <f t="shared" si="216"/>
        <v>0,999984445218629+0,0223857323488241i</v>
      </c>
      <c r="AA232" s="4">
        <f t="shared" si="230"/>
        <v>1.00023497823861</v>
      </c>
      <c r="AB232" s="4">
        <f t="shared" si="231"/>
        <v>0.022382342188622</v>
      </c>
      <c r="AC232" s="67" t="str">
        <f t="shared" si="232"/>
        <v>0,597277261406455-5,30854171252354i</v>
      </c>
      <c r="AD232" s="68">
        <f t="shared" si="233"/>
        <v>14.5541372148927</v>
      </c>
      <c r="AE232" s="31">
        <f t="shared" si="234"/>
        <v>-83.5805064298497</v>
      </c>
      <c r="AF232" s="32" t="str">
        <f t="shared" si="235"/>
        <v>249,914648392112</v>
      </c>
      <c r="AG232" s="32" t="str">
        <f t="shared" si="217"/>
        <v>1+9,10687063609551i</v>
      </c>
      <c r="AH232" s="32">
        <f t="shared" si="236"/>
        <v>9.16160972660256</v>
      </c>
      <c r="AI232" s="32">
        <f t="shared" si="237"/>
        <v>1.4614272952572</v>
      </c>
      <c r="AJ232" s="32" t="str">
        <f t="shared" si="218"/>
        <v>1+0,13599593483236i</v>
      </c>
      <c r="AK232" s="32">
        <f t="shared" si="238"/>
        <v>1.00920508039294</v>
      </c>
      <c r="AL232" s="32">
        <f t="shared" si="239"/>
        <v>0.135166707303096</v>
      </c>
      <c r="AM232" s="32" t="str">
        <f t="shared" si="219"/>
        <v>1-0,0137624391313665i</v>
      </c>
      <c r="AN232" s="32">
        <f t="shared" si="240"/>
        <v>1.00009469788158</v>
      </c>
      <c r="AO232" s="32">
        <f t="shared" si="241"/>
        <v>-0.0137615703397365</v>
      </c>
      <c r="AP232" s="30" t="str">
        <f t="shared" si="242"/>
        <v>6,29746781543956-26,8022836303305i</v>
      </c>
      <c r="AQ232" s="32">
        <f t="shared" si="243"/>
        <v>28.7968095588163</v>
      </c>
      <c r="AR232" s="31">
        <f t="shared" si="244"/>
        <v>-76.7776141242484</v>
      </c>
      <c r="AS232" t="str">
        <f t="shared" si="220"/>
        <v>-0,000100699300699301</v>
      </c>
      <c r="AT232" t="str">
        <f t="shared" si="221"/>
        <v>0,00194887031612444i</v>
      </c>
      <c r="AU232">
        <f t="shared" si="245"/>
        <v>0.00194887031612444</v>
      </c>
      <c r="AV232">
        <f t="shared" si="246"/>
        <v>1.5707963267949</v>
      </c>
      <c r="AW232" t="str">
        <f t="shared" si="222"/>
        <v>1+0,0997785856032675i</v>
      </c>
      <c r="AX232">
        <f t="shared" si="247"/>
        <v>1.00496555470573</v>
      </c>
      <c r="AY232">
        <f t="shared" si="248"/>
        <v>0.0994494255137498</v>
      </c>
      <c r="AZ232" t="str">
        <f t="shared" si="223"/>
        <v>1+4,77026557128812i</v>
      </c>
      <c r="BA232">
        <f t="shared" si="249"/>
        <v>4.87395461823526</v>
      </c>
      <c r="BB232">
        <f t="shared" si="250"/>
        <v>1.36415667801118</v>
      </c>
      <c r="BC232" s="30" t="str">
        <f t="shared" si="251"/>
        <v>-0,238947959967894+0,0755124905779742i</v>
      </c>
      <c r="BD232" s="32">
        <f t="shared" si="252"/>
        <v>-12.0205236310756</v>
      </c>
      <c r="BE232" s="31">
        <f t="shared" si="253"/>
        <v>162.462387887689</v>
      </c>
      <c r="BF232" s="30" t="str">
        <f t="shared" si="254"/>
        <v>0,258143022901434+1,31356710618636i</v>
      </c>
      <c r="BG232" s="68">
        <f t="shared" si="255"/>
        <v>2.5336135838171</v>
      </c>
      <c r="BH232" s="31">
        <f t="shared" si="256"/>
        <v>78.8818814578394</v>
      </c>
      <c r="BI232" s="30" t="str">
        <f t="shared" si="209"/>
        <v>0,519140102640771+6,87988847502683i</v>
      </c>
      <c r="BJ232" s="68">
        <f t="shared" si="257"/>
        <v>16.7762859277408</v>
      </c>
      <c r="BK232" s="31">
        <f t="shared" si="210"/>
        <v>85.6847737634407</v>
      </c>
      <c r="BL232" s="32">
        <f t="shared" si="258"/>
        <v>2.5336135838171</v>
      </c>
      <c r="BM232" s="31">
        <f t="shared" si="259"/>
        <v>78.8818814578394</v>
      </c>
      <c r="BO232">
        <f t="shared" si="260"/>
        <v>0</v>
      </c>
      <c r="BP232">
        <f t="shared" si="261"/>
        <v>0</v>
      </c>
    </row>
    <row r="233" spans="14:68">
      <c r="N233" s="7">
        <v>15</v>
      </c>
      <c r="O233" s="18">
        <f t="shared" si="262"/>
        <v>1412.53754462275</v>
      </c>
      <c r="P233" s="86" t="str">
        <f t="shared" si="212"/>
        <v>75</v>
      </c>
      <c r="Q233" s="4" t="str">
        <f t="shared" si="213"/>
        <v>1+14,4962174054815i</v>
      </c>
      <c r="R233" s="4">
        <f t="shared" si="224"/>
        <v>14.5306682250674</v>
      </c>
      <c r="S233" s="4">
        <f t="shared" si="225"/>
        <v>1.50192192707084</v>
      </c>
      <c r="T233" s="4" t="str">
        <f t="shared" si="214"/>
        <v>1+0,139163687092623i</v>
      </c>
      <c r="U233" s="4">
        <f t="shared" si="226"/>
        <v>1.00963683164057</v>
      </c>
      <c r="V233" s="4">
        <f t="shared" si="227"/>
        <v>0.138275611188648</v>
      </c>
      <c r="W233" t="str">
        <f t="shared" si="215"/>
        <v>1-0,0729988090776035i</v>
      </c>
      <c r="X233" s="4">
        <f t="shared" si="228"/>
        <v>1.00266087294097</v>
      </c>
      <c r="Y233" s="4">
        <f t="shared" si="229"/>
        <v>-0.0728695560995841</v>
      </c>
      <c r="Z233" t="str">
        <f t="shared" si="216"/>
        <v>0,999983712144368+0,0229071630396241i</v>
      </c>
      <c r="AA233" s="4">
        <f t="shared" si="230"/>
        <v>1.00024605106571</v>
      </c>
      <c r="AB233" s="4">
        <f t="shared" si="231"/>
        <v>0.0229035304657251</v>
      </c>
      <c r="AC233" s="67" t="str">
        <f t="shared" si="232"/>
        <v>0,580610709974813-5,19145177764949i</v>
      </c>
      <c r="AD233" s="68">
        <f t="shared" si="233"/>
        <v>14.3597616830656</v>
      </c>
      <c r="AE233" s="31">
        <f t="shared" si="234"/>
        <v>-83.6185722997461</v>
      </c>
      <c r="AF233" s="32" t="str">
        <f t="shared" si="235"/>
        <v>249,914648392112</v>
      </c>
      <c r="AG233" s="32" t="str">
        <f t="shared" si="217"/>
        <v>1+9,31899690352384i</v>
      </c>
      <c r="AH233" s="32">
        <f t="shared" si="236"/>
        <v>9.3724971746001</v>
      </c>
      <c r="AI233" s="32">
        <f t="shared" si="237"/>
        <v>1.46389769814506</v>
      </c>
      <c r="AJ233" s="32" t="str">
        <f t="shared" si="218"/>
        <v>1+0,139163687092623i</v>
      </c>
      <c r="AK233" s="32">
        <f t="shared" si="238"/>
        <v>1.00963683164057</v>
      </c>
      <c r="AL233" s="32">
        <f t="shared" si="239"/>
        <v>0.138275611188648</v>
      </c>
      <c r="AM233" s="32" t="str">
        <f t="shared" si="219"/>
        <v>1-0,0140830075198177i</v>
      </c>
      <c r="AN233" s="32">
        <f t="shared" si="240"/>
        <v>1.00009916063399</v>
      </c>
      <c r="AO233" s="32">
        <f t="shared" si="241"/>
        <v>-0.014082076597799</v>
      </c>
      <c r="AP233" s="30" t="str">
        <f t="shared" si="242"/>
        <v>6,1667660853087-26,2085799976635i</v>
      </c>
      <c r="AQ233" s="32">
        <f t="shared" si="243"/>
        <v>28.6028928465011</v>
      </c>
      <c r="AR233" s="31">
        <f t="shared" si="244"/>
        <v>-76.7593943677606</v>
      </c>
      <c r="AS233" t="str">
        <f t="shared" si="220"/>
        <v>-0,000100699300699301</v>
      </c>
      <c r="AT233" t="str">
        <f t="shared" si="221"/>
        <v>0,0019942653373541i</v>
      </c>
      <c r="AU233">
        <f t="shared" si="245"/>
        <v>0.0019942653373541</v>
      </c>
      <c r="AV233">
        <f t="shared" si="246"/>
        <v>1.5707963267949</v>
      </c>
      <c r="AW233" t="str">
        <f t="shared" si="222"/>
        <v>1+0,102102727427508i</v>
      </c>
      <c r="AX233">
        <f t="shared" si="247"/>
        <v>1.00519896883559</v>
      </c>
      <c r="AY233">
        <f t="shared" si="248"/>
        <v>0.101750124485197</v>
      </c>
      <c r="AZ233" t="str">
        <f t="shared" si="223"/>
        <v>1+4,88137933041725i</v>
      </c>
      <c r="BA233">
        <f t="shared" si="249"/>
        <v>4.98275668354624</v>
      </c>
      <c r="BB233">
        <f t="shared" si="250"/>
        <v>1.36873196345757</v>
      </c>
      <c r="BC233" s="30" t="str">
        <f t="shared" si="251"/>
        <v>-0,238837002125012+0,0748803439512549i</v>
      </c>
      <c r="BD233" s="32">
        <f t="shared" si="252"/>
        <v>-12.0307768040357</v>
      </c>
      <c r="BE233" s="31">
        <f t="shared" si="253"/>
        <v>162.59271209284</v>
      </c>
      <c r="BF233" s="30" t="str">
        <f t="shared" si="254"/>
        <v>0,250066373344688+1,28338710891506i</v>
      </c>
      <c r="BG233" s="68">
        <f t="shared" si="255"/>
        <v>2.32898487902987</v>
      </c>
      <c r="BH233" s="31">
        <f t="shared" si="256"/>
        <v>78.9741397930943</v>
      </c>
      <c r="BI233" s="30" t="str">
        <f t="shared" si="209"/>
        <v>0,489655560077696+6,72134824213035i</v>
      </c>
      <c r="BJ233" s="68">
        <f t="shared" si="257"/>
        <v>16.5721160424654</v>
      </c>
      <c r="BK233" s="31">
        <f t="shared" si="210"/>
        <v>85.8333177250799</v>
      </c>
      <c r="BL233" s="32">
        <f t="shared" si="258"/>
        <v>2.32898487902987</v>
      </c>
      <c r="BM233" s="31">
        <f t="shared" si="259"/>
        <v>78.9741397930943</v>
      </c>
      <c r="BO233">
        <f t="shared" si="260"/>
        <v>0</v>
      </c>
      <c r="BP233">
        <f t="shared" si="261"/>
        <v>0</v>
      </c>
    </row>
    <row r="234" spans="14:68">
      <c r="N234" s="7">
        <v>16</v>
      </c>
      <c r="O234" s="18">
        <f t="shared" si="262"/>
        <v>1445.43977074593</v>
      </c>
      <c r="P234" s="86" t="str">
        <f t="shared" si="212"/>
        <v>75</v>
      </c>
      <c r="Q234" s="4" t="str">
        <f t="shared" si="213"/>
        <v>1+14,8338776856076i</v>
      </c>
      <c r="R234" s="4">
        <f t="shared" si="224"/>
        <v>14.8675461052444</v>
      </c>
      <c r="S234" s="4">
        <f t="shared" si="225"/>
        <v>1.50348491373513</v>
      </c>
      <c r="T234" s="4" t="str">
        <f t="shared" si="214"/>
        <v>1+0,142405225781833i</v>
      </c>
      <c r="U234" s="4">
        <f t="shared" si="226"/>
        <v>1.01008873289923</v>
      </c>
      <c r="V234" s="4">
        <f t="shared" si="227"/>
        <v>0.141454147877324</v>
      </c>
      <c r="W234" t="str">
        <f t="shared" si="215"/>
        <v>1-0,0746991697739528i</v>
      </c>
      <c r="X234" s="4">
        <f t="shared" si="228"/>
        <v>1.00278610180084</v>
      </c>
      <c r="Y234" s="4">
        <f t="shared" si="229"/>
        <v>-0.0745606934866072</v>
      </c>
      <c r="Z234" t="str">
        <f t="shared" si="216"/>
        <v>0,999982944521381+0,0234407394114802i</v>
      </c>
      <c r="AA234" s="4">
        <f t="shared" si="230"/>
        <v>1.00025764560827</v>
      </c>
      <c r="AB234" s="4">
        <f t="shared" si="231"/>
        <v>0.0234368470925054</v>
      </c>
      <c r="AC234" s="67" t="str">
        <f t="shared" si="232"/>
        <v>0,564681881853794-5,07701161167409i</v>
      </c>
      <c r="AD234" s="68">
        <f t="shared" si="233"/>
        <v>14.1655584548732</v>
      </c>
      <c r="AE234" s="31">
        <f t="shared" si="234"/>
        <v>-83.6534599284687</v>
      </c>
      <c r="AF234" s="32" t="str">
        <f t="shared" si="235"/>
        <v>249,914648392112</v>
      </c>
      <c r="AG234" s="32" t="str">
        <f t="shared" si="217"/>
        <v>1+9,53606422646205i</v>
      </c>
      <c r="AH234" s="32">
        <f t="shared" si="236"/>
        <v>9.58835340041288</v>
      </c>
      <c r="AI234" s="32">
        <f t="shared" si="237"/>
        <v>1.46631313407254</v>
      </c>
      <c r="AJ234" s="32" t="str">
        <f t="shared" si="218"/>
        <v>1+0,142405225781833i</v>
      </c>
      <c r="AK234" s="32">
        <f t="shared" si="238"/>
        <v>1.01008873289923</v>
      </c>
      <c r="AL234" s="32">
        <f t="shared" si="239"/>
        <v>0.141454147877324</v>
      </c>
      <c r="AM234" s="32" t="str">
        <f t="shared" si="219"/>
        <v>1-0,0144110429052667i</v>
      </c>
      <c r="AN234" s="32">
        <f t="shared" si="240"/>
        <v>1.00010383368809</v>
      </c>
      <c r="AO234" s="32">
        <f t="shared" si="241"/>
        <v>-0.0144100454099452</v>
      </c>
      <c r="AP234" s="30" t="str">
        <f t="shared" si="242"/>
        <v>6,04181591678752-25,6275234171137i</v>
      </c>
      <c r="AQ234" s="32">
        <f t="shared" si="243"/>
        <v>28.4090459738347</v>
      </c>
      <c r="AR234" s="31">
        <f t="shared" si="244"/>
        <v>-76.7344631435487</v>
      </c>
      <c r="AS234" t="str">
        <f t="shared" si="220"/>
        <v>-0,000100699300699301</v>
      </c>
      <c r="AT234" t="str">
        <f t="shared" si="221"/>
        <v>0,00204071774446288i</v>
      </c>
      <c r="AU234">
        <f t="shared" si="245"/>
        <v>0.00204071774446288</v>
      </c>
      <c r="AV234">
        <f t="shared" si="246"/>
        <v>1.5707963267949</v>
      </c>
      <c r="AW234" t="str">
        <f t="shared" si="222"/>
        <v>1+0,104481005469322i</v>
      </c>
      <c r="AX234">
        <f t="shared" si="247"/>
        <v>1.00544332535647</v>
      </c>
      <c r="AY234">
        <f t="shared" si="248"/>
        <v>0.104103294995109</v>
      </c>
      <c r="AZ234" t="str">
        <f t="shared" si="223"/>
        <v>1+4,99508126148012i</v>
      </c>
      <c r="BA234">
        <f t="shared" si="249"/>
        <v>5.09419638498457</v>
      </c>
      <c r="BB234">
        <f t="shared" si="250"/>
        <v>1.37321140557746</v>
      </c>
      <c r="BC234" s="30" t="str">
        <f t="shared" si="251"/>
        <v>-0,238720925394406+0,0742868432771557i</v>
      </c>
      <c r="BD234" s="32">
        <f t="shared" si="252"/>
        <v>-12.0407679643886</v>
      </c>
      <c r="BE234" s="31">
        <f t="shared" si="253"/>
        <v>162.714538482191</v>
      </c>
      <c r="BF234" s="30" t="str">
        <f t="shared" si="254"/>
        <v>0,24235378452314+1,25393734463571i</v>
      </c>
      <c r="BG234" s="68">
        <f t="shared" si="255"/>
        <v>2.12479049048456</v>
      </c>
      <c r="BH234" s="31">
        <f t="shared" si="256"/>
        <v>79.0610785537225</v>
      </c>
      <c r="BI234" s="30" t="str">
        <f t="shared" si="209"/>
        <v>0,461479928950595+6,56665353782001i</v>
      </c>
      <c r="BJ234" s="68">
        <f t="shared" si="257"/>
        <v>16.3682780094461</v>
      </c>
      <c r="BK234" s="31">
        <f t="shared" si="210"/>
        <v>85.9800753386425</v>
      </c>
      <c r="BL234" s="32">
        <f t="shared" si="258"/>
        <v>2.12479049048456</v>
      </c>
      <c r="BM234" s="31">
        <f t="shared" si="259"/>
        <v>79.0610785537225</v>
      </c>
      <c r="BO234">
        <f t="shared" si="260"/>
        <v>0</v>
      </c>
      <c r="BP234">
        <f t="shared" si="261"/>
        <v>0</v>
      </c>
    </row>
    <row r="235" spans="14:68">
      <c r="N235" s="7">
        <v>17</v>
      </c>
      <c r="O235" s="18">
        <f t="shared" si="262"/>
        <v>1479.10838816821</v>
      </c>
      <c r="P235" s="86" t="str">
        <f t="shared" si="212"/>
        <v>75</v>
      </c>
      <c r="Q235" s="4" t="str">
        <f t="shared" si="213"/>
        <v>1+15,1794030840321i</v>
      </c>
      <c r="R235" s="4">
        <f t="shared" si="224"/>
        <v>15.2123067937615</v>
      </c>
      <c r="S235" s="4">
        <f t="shared" si="225"/>
        <v>1.50501264081199</v>
      </c>
      <c r="T235" s="4" t="str">
        <f t="shared" si="214"/>
        <v>1+0,145722269606709i</v>
      </c>
      <c r="U235" s="4">
        <f t="shared" si="226"/>
        <v>1.01056171501761</v>
      </c>
      <c r="V235" s="4">
        <f t="shared" si="227"/>
        <v>0.144703745632267</v>
      </c>
      <c r="W235" t="str">
        <f t="shared" si="215"/>
        <v>1-0,0764391369588762i</v>
      </c>
      <c r="X235" s="4">
        <f t="shared" si="228"/>
        <v>1.00291721575563</v>
      </c>
      <c r="Y235" s="4">
        <f t="shared" si="229"/>
        <v>-0.076290780243809</v>
      </c>
      <c r="Z235" t="str">
        <f t="shared" si="216"/>
        <v>0,999982140721437+0,023986744373647i</v>
      </c>
      <c r="AA235" s="4">
        <f t="shared" si="230"/>
        <v>1.00026978644138</v>
      </c>
      <c r="AB235" s="4">
        <f t="shared" si="231"/>
        <v>0.0239825737394064</v>
      </c>
      <c r="AC235" s="67" t="str">
        <f t="shared" si="232"/>
        <v>0,549457921533963-4,96516732034115i</v>
      </c>
      <c r="AD235" s="68">
        <f t="shared" si="233"/>
        <v>13.971539286979</v>
      </c>
      <c r="AE235" s="31">
        <f t="shared" si="234"/>
        <v>-83.6851985087615</v>
      </c>
      <c r="AF235" s="32" t="str">
        <f t="shared" si="235"/>
        <v>249,914648392112</v>
      </c>
      <c r="AG235" s="32" t="str">
        <f t="shared" si="217"/>
        <v>1+9,7581876968778i</v>
      </c>
      <c r="AH235" s="32">
        <f t="shared" si="236"/>
        <v>9.80929289640682</v>
      </c>
      <c r="AI235" s="32">
        <f t="shared" si="237"/>
        <v>1.46867477093464</v>
      </c>
      <c r="AJ235" s="32" t="str">
        <f t="shared" si="218"/>
        <v>1+0,145722269606709i</v>
      </c>
      <c r="AK235" s="32">
        <f t="shared" si="238"/>
        <v>1.01056171501761</v>
      </c>
      <c r="AL235" s="32">
        <f t="shared" si="239"/>
        <v>0.144703745632267</v>
      </c>
      <c r="AM235" s="32" t="str">
        <f t="shared" si="219"/>
        <v>1-0,0147467192164166i</v>
      </c>
      <c r="AN235" s="32">
        <f t="shared" si="240"/>
        <v>1.00010872695305</v>
      </c>
      <c r="AO235" s="32">
        <f t="shared" si="241"/>
        <v>-0.0147456503871984</v>
      </c>
      <c r="AP235" s="30" t="str">
        <f t="shared" si="242"/>
        <v>5,92236978831254-25,0588873809189i</v>
      </c>
      <c r="AQ235" s="32">
        <f t="shared" si="243"/>
        <v>28.2152813609556</v>
      </c>
      <c r="AR235" s="31">
        <f t="shared" si="244"/>
        <v>-76.7028154807962</v>
      </c>
      <c r="AS235" t="str">
        <f t="shared" si="220"/>
        <v>-0,000100699300699301</v>
      </c>
      <c r="AT235" t="str">
        <f t="shared" si="221"/>
        <v>0,00208825216713185i</v>
      </c>
      <c r="AU235">
        <f t="shared" si="245"/>
        <v>0.00208825216713185</v>
      </c>
      <c r="AV235">
        <f t="shared" si="246"/>
        <v>1.5707963267949</v>
      </c>
      <c r="AW235" t="str">
        <f t="shared" si="222"/>
        <v>1+0,106914680723204i</v>
      </c>
      <c r="AX235">
        <f t="shared" si="247"/>
        <v>1.00569913441056</v>
      </c>
      <c r="AY235">
        <f t="shared" si="248"/>
        <v>0.10651008042485</v>
      </c>
      <c r="AZ235" t="str">
        <f t="shared" si="223"/>
        <v>1+5,11143165074551i</v>
      </c>
      <c r="BA235">
        <f t="shared" si="249"/>
        <v>5.20833308460999</v>
      </c>
      <c r="BB235">
        <f t="shared" si="250"/>
        <v>1.37759666003504</v>
      </c>
      <c r="BC235" s="30" t="str">
        <f t="shared" si="251"/>
        <v>-0,238599499004451+0,0737315999577371i</v>
      </c>
      <c r="BD235" s="32">
        <f t="shared" si="252"/>
        <v>-12.0505162385669</v>
      </c>
      <c r="BE235" s="31">
        <f t="shared" si="253"/>
        <v>162.827896407383</v>
      </c>
      <c r="BF235" s="30" t="str">
        <f t="shared" si="254"/>
        <v>0,234989345784593+1,22519884677082i</v>
      </c>
      <c r="BG235" s="68">
        <f t="shared" si="255"/>
        <v>1.92102304841212</v>
      </c>
      <c r="BH235" s="31">
        <f t="shared" si="256"/>
        <v>79.1426978986216</v>
      </c>
      <c r="BI235" s="30" t="str">
        <f t="shared" si="209"/>
        <v>0,43455739534543+6,41570377472986i</v>
      </c>
      <c r="BJ235" s="68">
        <f t="shared" si="257"/>
        <v>16.1647651223887</v>
      </c>
      <c r="BK235" s="31">
        <f t="shared" si="210"/>
        <v>86.125080926587</v>
      </c>
      <c r="BL235" s="32">
        <f t="shared" si="258"/>
        <v>1.92102304841212</v>
      </c>
      <c r="BM235" s="31">
        <f t="shared" si="259"/>
        <v>79.1426978986216</v>
      </c>
      <c r="BO235">
        <f t="shared" si="260"/>
        <v>0</v>
      </c>
      <c r="BP235">
        <f t="shared" si="261"/>
        <v>0</v>
      </c>
    </row>
    <row r="236" spans="14:68">
      <c r="N236" s="7">
        <v>18</v>
      </c>
      <c r="O236" s="18">
        <f t="shared" si="262"/>
        <v>1513.56124843621</v>
      </c>
      <c r="P236" s="86" t="str">
        <f t="shared" si="212"/>
        <v>75</v>
      </c>
      <c r="Q236" s="4" t="str">
        <f t="shared" si="213"/>
        <v>1+15,532976802895i</v>
      </c>
      <c r="R236" s="4">
        <f t="shared" si="224"/>
        <v>15.5651330980263</v>
      </c>
      <c r="S236" s="4">
        <f t="shared" si="225"/>
        <v>1.50650588978137</v>
      </c>
      <c r="T236" s="4" t="str">
        <f t="shared" si="214"/>
        <v>1+0,149116577307792i</v>
      </c>
      <c r="U236" s="4">
        <f t="shared" si="226"/>
        <v>1.01105675094328</v>
      </c>
      <c r="V236" s="4">
        <f t="shared" si="227"/>
        <v>0.148025852766969</v>
      </c>
      <c r="W236" t="str">
        <f t="shared" si="215"/>
        <v>1-0,0782196331860068i</v>
      </c>
      <c r="X236" s="4">
        <f t="shared" si="228"/>
        <v>1.00305449055161</v>
      </c>
      <c r="Y236" s="4">
        <f t="shared" si="229"/>
        <v>-0.078060692234941</v>
      </c>
      <c r="Z236" t="str">
        <f t="shared" si="216"/>
        <v>0,999981299039569+0,0245454674251827i</v>
      </c>
      <c r="AA236" s="4">
        <f t="shared" si="230"/>
        <v>1.00028249929707</v>
      </c>
      <c r="AB236" s="4">
        <f t="shared" si="231"/>
        <v>0.0245409985781638</v>
      </c>
      <c r="AC236" s="67" t="str">
        <f t="shared" si="232"/>
        <v>0,534907387430613-4,85586593839578i</v>
      </c>
      <c r="AD236" s="68">
        <f t="shared" si="233"/>
        <v>13.7777162807575</v>
      </c>
      <c r="AE236" s="31">
        <f t="shared" si="234"/>
        <v>-83.713816528198</v>
      </c>
      <c r="AF236" s="32" t="str">
        <f t="shared" si="235"/>
        <v>249,914648392112</v>
      </c>
      <c r="AG236" s="32" t="str">
        <f t="shared" si="217"/>
        <v>1+9,98548508757532i</v>
      </c>
      <c r="AH236" s="32">
        <f t="shared" si="236"/>
        <v>10.0354328473758</v>
      </c>
      <c r="AI236" s="32">
        <f t="shared" si="237"/>
        <v>1.47098375547188</v>
      </c>
      <c r="AJ236" s="32" t="str">
        <f t="shared" si="218"/>
        <v>1+0,149116577307792i</v>
      </c>
      <c r="AK236" s="32">
        <f t="shared" si="238"/>
        <v>1.01105675094328</v>
      </c>
      <c r="AL236" s="32">
        <f t="shared" si="239"/>
        <v>0.148025852766969</v>
      </c>
      <c r="AM236" s="32" t="str">
        <f t="shared" si="219"/>
        <v>1-0,0150902144332911i</v>
      </c>
      <c r="AN236" s="32">
        <f t="shared" si="240"/>
        <v>1.00011385080482</v>
      </c>
      <c r="AO236" s="32">
        <f t="shared" si="241"/>
        <v>-0.0150890691691911</v>
      </c>
      <c r="AP236" s="30" t="str">
        <f t="shared" si="242"/>
        <v>5,80819034412186-24,5024467139733i</v>
      </c>
      <c r="AQ236" s="32">
        <f t="shared" si="243"/>
        <v>28.0216115715244</v>
      </c>
      <c r="AR236" s="31">
        <f t="shared" si="244"/>
        <v>-76.6644442786462</v>
      </c>
      <c r="AS236" t="str">
        <f t="shared" si="220"/>
        <v>-0,000100699300699301</v>
      </c>
      <c r="AT236" t="str">
        <f t="shared" si="221"/>
        <v>0,00213689380874112i</v>
      </c>
      <c r="AU236">
        <f t="shared" si="245"/>
        <v>0.00213689380874112</v>
      </c>
      <c r="AV236">
        <f t="shared" si="246"/>
        <v>1.5707963267949</v>
      </c>
      <c r="AW236" t="str">
        <f t="shared" si="222"/>
        <v>1+0,109405043555989i</v>
      </c>
      <c r="AX236">
        <f t="shared" si="247"/>
        <v>1.005966929653</v>
      </c>
      <c r="AY236">
        <f t="shared" si="248"/>
        <v>0.108971645290398</v>
      </c>
      <c r="AZ236" t="str">
        <f t="shared" si="223"/>
        <v>1+5,23049218872993i</v>
      </c>
      <c r="BA236">
        <f t="shared" si="249"/>
        <v>5.3252275572378</v>
      </c>
      <c r="BB236">
        <f t="shared" si="250"/>
        <v>1.38188937698402</v>
      </c>
      <c r="BC236" s="30" t="str">
        <f t="shared" si="251"/>
        <v>-0,238472482292371+0,0732142405909647i</v>
      </c>
      <c r="BD236" s="32">
        <f t="shared" si="252"/>
        <v>-12.0600403855027</v>
      </c>
      <c r="BE236" s="31">
        <f t="shared" si="253"/>
        <v>162.93281369341</v>
      </c>
      <c r="BF236" s="30" t="str">
        <f t="shared" si="254"/>
        <v>0,227957844614074+1,19715324216544i</v>
      </c>
      <c r="BG236" s="68">
        <f t="shared" si="255"/>
        <v>1.71767589525481</v>
      </c>
      <c r="BH236" s="31">
        <f t="shared" si="256"/>
        <v>79.2189971652125</v>
      </c>
      <c r="BI236" s="30" t="str">
        <f t="shared" si="209"/>
        <v>0,408834459794813+6,26840153537042i</v>
      </c>
      <c r="BJ236" s="68">
        <f t="shared" si="257"/>
        <v>15.9615711860217</v>
      </c>
      <c r="BK236" s="31">
        <f t="shared" si="210"/>
        <v>86.2683694147642</v>
      </c>
      <c r="BL236" s="32">
        <f t="shared" si="258"/>
        <v>1.71767589525481</v>
      </c>
      <c r="BM236" s="31">
        <f t="shared" si="259"/>
        <v>79.2189971652125</v>
      </c>
      <c r="BO236">
        <f t="shared" si="260"/>
        <v>0</v>
      </c>
      <c r="BP236">
        <f t="shared" si="261"/>
        <v>0</v>
      </c>
    </row>
    <row r="237" spans="14:68">
      <c r="N237" s="7">
        <v>19</v>
      </c>
      <c r="O237" s="18">
        <f t="shared" si="262"/>
        <v>1548.81661891248</v>
      </c>
      <c r="P237" s="86" t="str">
        <f t="shared" si="212"/>
        <v>75</v>
      </c>
      <c r="Q237" s="4" t="str">
        <f t="shared" si="213"/>
        <v>1+15,8947863116619i</v>
      </c>
      <c r="R237" s="4">
        <f t="shared" si="224"/>
        <v>15.9262121012309</v>
      </c>
      <c r="S237" s="4">
        <f t="shared" si="225"/>
        <v>1.50796542573154</v>
      </c>
      <c r="T237" s="4" t="str">
        <f t="shared" si="214"/>
        <v>1+0,152589948591954i</v>
      </c>
      <c r="U237" s="4">
        <f t="shared" si="226"/>
        <v>1.01157485754209</v>
      </c>
      <c r="V237" s="4">
        <f t="shared" si="227"/>
        <v>0.151421937241584</v>
      </c>
      <c r="W237" t="str">
        <f t="shared" si="215"/>
        <v>1-0,0800416024980116i</v>
      </c>
      <c r="X237" s="4">
        <f t="shared" si="228"/>
        <v>1.00319821477635</v>
      </c>
      <c r="Y237" s="4">
        <f t="shared" si="229"/>
        <v>-0.0798713235107344</v>
      </c>
      <c r="Z237" t="str">
        <f t="shared" si="216"/>
        <v>0,999980417690457+0,025117204808445i</v>
      </c>
      <c r="AA237" s="4">
        <f t="shared" si="230"/>
        <v>1.00029581111878</v>
      </c>
      <c r="AB237" s="4">
        <f t="shared" si="231"/>
        <v>0.025112416428982</v>
      </c>
      <c r="AC237" s="67" t="str">
        <f t="shared" si="232"/>
        <v>0,521000192252503-4,74905543056036i</v>
      </c>
      <c r="AD237" s="68">
        <f t="shared" si="233"/>
        <v>13.5841019033034</v>
      </c>
      <c r="AE237" s="31">
        <f t="shared" si="234"/>
        <v>-83.7393418324731</v>
      </c>
      <c r="AF237" s="32" t="str">
        <f t="shared" si="235"/>
        <v>249,914648392112</v>
      </c>
      <c r="AG237" s="32" t="str">
        <f t="shared" si="217"/>
        <v>1+10,2180769146398i</v>
      </c>
      <c r="AH237" s="32">
        <f t="shared" si="236"/>
        <v>10.2668931928551</v>
      </c>
      <c r="AI237" s="32">
        <f t="shared" si="237"/>
        <v>1.47324121340335</v>
      </c>
      <c r="AJ237" s="32" t="str">
        <f t="shared" si="218"/>
        <v>1+0,152589948591954i</v>
      </c>
      <c r="AK237" s="32">
        <f t="shared" si="238"/>
        <v>1.01157485754209</v>
      </c>
      <c r="AL237" s="32">
        <f t="shared" si="239"/>
        <v>0.151421937241584</v>
      </c>
      <c r="AM237" s="32" t="str">
        <f t="shared" si="219"/>
        <v>1-0,0154417106816006i</v>
      </c>
      <c r="AN237" s="32">
        <f t="shared" si="240"/>
        <v>1.00011921610815</v>
      </c>
      <c r="AO237" s="32">
        <f t="shared" si="241"/>
        <v>-0.0154404835169082</v>
      </c>
      <c r="AP237" s="30" t="str">
        <f t="shared" si="242"/>
        <v>5,69905001949727-23,9579777846389i</v>
      </c>
      <c r="AQ237" s="32">
        <f t="shared" si="243"/>
        <v>27.8280493340873</v>
      </c>
      <c r="AR237" s="31">
        <f t="shared" si="244"/>
        <v>-76.619340342267</v>
      </c>
      <c r="AS237" t="str">
        <f t="shared" si="220"/>
        <v>-0,000100699300699301</v>
      </c>
      <c r="AT237" t="str">
        <f t="shared" si="221"/>
        <v>0,00218666845973291i</v>
      </c>
      <c r="AU237">
        <f t="shared" si="245"/>
        <v>0.00218666845973291</v>
      </c>
      <c r="AV237">
        <f t="shared" si="246"/>
        <v>1.5707963267949</v>
      </c>
      <c r="AW237" t="str">
        <f t="shared" si="222"/>
        <v>1+0,111953414391014i</v>
      </c>
      <c r="AX237">
        <f t="shared" si="247"/>
        <v>1.00624726930999</v>
      </c>
      <c r="AY237">
        <f t="shared" si="248"/>
        <v>0.111489175358183</v>
      </c>
      <c r="AZ237" t="str">
        <f t="shared" si="223"/>
        <v>1+5,35232600290655i</v>
      </c>
      <c r="BA237">
        <f t="shared" si="249"/>
        <v>5.44494202369406</v>
      </c>
      <c r="BB237">
        <f t="shared" si="250"/>
        <v>1.386091199345</v>
      </c>
      <c r="BC237" s="30" t="str">
        <f t="shared" si="251"/>
        <v>-0,238339624329347+0,0727344064322878i</v>
      </c>
      <c r="BD237" s="32">
        <f t="shared" si="252"/>
        <v>-12.0693588220079</v>
      </c>
      <c r="BE237" s="31">
        <f t="shared" si="253"/>
        <v>163.029316533277</v>
      </c>
      <c r="BF237" s="30" t="str">
        <f t="shared" si="254"/>
        <v>0,221244737758862+1,16978272697359i</v>
      </c>
      <c r="BG237" s="68">
        <f t="shared" si="255"/>
        <v>1.5147430812955</v>
      </c>
      <c r="BH237" s="31">
        <f t="shared" si="256"/>
        <v>79.2899747008041</v>
      </c>
      <c r="BI237" s="30" t="str">
        <f t="shared" si="209"/>
        <v>0,384259852802511+6,12465244527773i</v>
      </c>
      <c r="BJ237" s="68">
        <f t="shared" si="257"/>
        <v>15.7586905120794</v>
      </c>
      <c r="BK237" s="31">
        <f t="shared" si="210"/>
        <v>86.4099761910102</v>
      </c>
      <c r="BL237" s="32">
        <f t="shared" si="258"/>
        <v>1.5147430812955</v>
      </c>
      <c r="BM237" s="31">
        <f t="shared" si="259"/>
        <v>79.2899747008041</v>
      </c>
      <c r="BO237">
        <f t="shared" si="260"/>
        <v>0</v>
      </c>
      <c r="BP237">
        <f t="shared" si="261"/>
        <v>0</v>
      </c>
    </row>
    <row r="238" spans="14:68">
      <c r="N238" s="7">
        <v>20</v>
      </c>
      <c r="O238" s="18">
        <f t="shared" si="262"/>
        <v>1584.89319246112</v>
      </c>
      <c r="P238" s="86" t="str">
        <f t="shared" si="212"/>
        <v>75</v>
      </c>
      <c r="Q238" s="4" t="str">
        <f t="shared" si="213"/>
        <v>1+16,2650234465237i</v>
      </c>
      <c r="R238" s="4">
        <f t="shared" si="224"/>
        <v>16.2957352615942</v>
      </c>
      <c r="S238" s="4">
        <f t="shared" si="225"/>
        <v>1.50939199764042</v>
      </c>
      <c r="T238" s="4" t="str">
        <f t="shared" si="214"/>
        <v>1+0,156144225086628i</v>
      </c>
      <c r="U238" s="4">
        <f t="shared" si="226"/>
        <v>1.01211709748818</v>
      </c>
      <c r="V238" s="4">
        <f t="shared" si="227"/>
        <v>0.154893486196194</v>
      </c>
      <c r="W238" t="str">
        <f t="shared" si="215"/>
        <v>1-0,0819060109271374i</v>
      </c>
      <c r="X238" s="4">
        <f t="shared" si="228"/>
        <v>1.00334869044914</v>
      </c>
      <c r="Y238" s="4">
        <f t="shared" si="229"/>
        <v>-0.0817235865777762</v>
      </c>
      <c r="Z238" t="str">
        <f t="shared" si="216"/>
        <v>0,999979494804641+0,0257022596661623i</v>
      </c>
      <c r="AA238" s="4">
        <f t="shared" si="230"/>
        <v>1.00030975011828</v>
      </c>
      <c r="AB238" s="4">
        <f t="shared" si="231"/>
        <v>0.0256971289108344</v>
      </c>
      <c r="AC238" s="67" t="str">
        <f t="shared" si="232"/>
        <v>0,507707545634105-4,64468469113357i</v>
      </c>
      <c r="AD238" s="68">
        <f t="shared" si="233"/>
        <v>13.3907090088307</v>
      </c>
      <c r="AE238" s="31">
        <f t="shared" si="234"/>
        <v>-83.7618016922796</v>
      </c>
      <c r="AF238" s="32" t="str">
        <f t="shared" si="235"/>
        <v>249,914648392112</v>
      </c>
      <c r="AG238" s="32" t="str">
        <f t="shared" si="217"/>
        <v>1+10,4560865013367i</v>
      </c>
      <c r="AH238" s="32">
        <f t="shared" si="236"/>
        <v>10.5037966908845</v>
      </c>
      <c r="AI238" s="32">
        <f t="shared" si="237"/>
        <v>1.47544824957845</v>
      </c>
      <c r="AJ238" s="32" t="str">
        <f t="shared" si="218"/>
        <v>1+0,156144225086628i</v>
      </c>
      <c r="AK238" s="32">
        <f t="shared" si="238"/>
        <v>1.01211709748818</v>
      </c>
      <c r="AL238" s="32">
        <f t="shared" si="239"/>
        <v>0.154893486196194</v>
      </c>
      <c r="AM238" s="32" t="str">
        <f t="shared" si="219"/>
        <v>1-0,0158013943293089i</v>
      </c>
      <c r="AN238" s="32">
        <f t="shared" si="240"/>
        <v>1.00012483423958</v>
      </c>
      <c r="AO238" s="32">
        <f t="shared" si="241"/>
        <v>-0.0158000794075145</v>
      </c>
      <c r="AP238" s="30" t="str">
        <f t="shared" si="242"/>
        <v>5,59473067596329-23,425258696485i</v>
      </c>
      <c r="AQ238" s="32">
        <f t="shared" si="243"/>
        <v>27.634607563518</v>
      </c>
      <c r="AR238" s="31">
        <f t="shared" si="244"/>
        <v>-76.5674924237226</v>
      </c>
      <c r="AS238" t="str">
        <f t="shared" si="220"/>
        <v>-0,000100699300699301</v>
      </c>
      <c r="AT238" t="str">
        <f t="shared" si="221"/>
        <v>0,00223760251128605i</v>
      </c>
      <c r="AU238">
        <f t="shared" si="245"/>
        <v>0.00223760251128605</v>
      </c>
      <c r="AV238">
        <f t="shared" si="246"/>
        <v>1.5707963267949</v>
      </c>
      <c r="AW238" t="str">
        <f t="shared" si="222"/>
        <v>1+0,114561144408228i</v>
      </c>
      <c r="AX238">
        <f t="shared" si="247"/>
        <v>1.00654073728197</v>
      </c>
      <c r="AY238">
        <f t="shared" si="248"/>
        <v>0.114063877738694</v>
      </c>
      <c r="AZ238" t="str">
        <f t="shared" si="223"/>
        <v>1+5,47699769117636i</v>
      </c>
      <c r="BA238">
        <f t="shared" si="249"/>
        <v>5.56754018478099</v>
      </c>
      <c r="BB238">
        <f t="shared" si="250"/>
        <v>1.39020376121545</v>
      </c>
      <c r="BC238" s="30" t="str">
        <f t="shared" si="251"/>
        <v>-0,238200663536242+0,0722917528424002i</v>
      </c>
      <c r="BD238" s="32">
        <f t="shared" si="252"/>
        <v>-12.0784896483424</v>
      </c>
      <c r="BE238" s="31">
        <f t="shared" si="253"/>
        <v>163.117429391535</v>
      </c>
      <c r="BF238" s="30" t="str">
        <f t="shared" si="254"/>
        <v>0,214836123469907+1,14307004374984i</v>
      </c>
      <c r="BG238" s="68">
        <f t="shared" si="255"/>
        <v>1.31221936048831</v>
      </c>
      <c r="BH238" s="31">
        <f t="shared" si="256"/>
        <v>79.3556276992553</v>
      </c>
      <c r="BI238" s="30" t="str">
        <f t="shared" si="209"/>
        <v>0,360784452634556+5,98436505225738i</v>
      </c>
      <c r="BJ238" s="68">
        <f t="shared" si="257"/>
        <v>15.5561179151756</v>
      </c>
      <c r="BK238" s="31">
        <f t="shared" si="210"/>
        <v>86.5499369678124</v>
      </c>
      <c r="BL238" s="32">
        <f t="shared" si="258"/>
        <v>1.31221936048831</v>
      </c>
      <c r="BM238" s="31">
        <f t="shared" si="259"/>
        <v>79.3556276992553</v>
      </c>
      <c r="BO238">
        <f t="shared" si="260"/>
        <v>0</v>
      </c>
      <c r="BP238">
        <f t="shared" si="261"/>
        <v>0</v>
      </c>
    </row>
    <row r="239" spans="14:68">
      <c r="N239" s="7">
        <v>21</v>
      </c>
      <c r="O239" s="18">
        <f t="shared" si="262"/>
        <v>1621.81009735893</v>
      </c>
      <c r="P239" s="86" t="str">
        <f t="shared" si="212"/>
        <v>75</v>
      </c>
      <c r="Q239" s="4" t="str">
        <f t="shared" si="213"/>
        <v>1+16,6438845121098i</v>
      </c>
      <c r="R239" s="4">
        <f t="shared" si="224"/>
        <v>16.6738985139183</v>
      </c>
      <c r="S239" s="4">
        <f t="shared" si="225"/>
        <v>1.51078633865638</v>
      </c>
      <c r="T239" s="4" t="str">
        <f t="shared" si="214"/>
        <v>1+0,159781291316254i</v>
      </c>
      <c r="U239" s="4">
        <f t="shared" si="226"/>
        <v>1.01268458122689</v>
      </c>
      <c r="V239" s="4">
        <f t="shared" si="227"/>
        <v>0.158442005416698</v>
      </c>
      <c r="W239" t="str">
        <f t="shared" si="215"/>
        <v>1-0,0838138470074101i</v>
      </c>
      <c r="X239" s="4">
        <f t="shared" si="228"/>
        <v>1.00350623363793</v>
      </c>
      <c r="Y239" s="4">
        <f t="shared" si="229"/>
        <v>-0.0836184126630106</v>
      </c>
      <c r="Z239" t="str">
        <f t="shared" si="216"/>
        <v>0,999978528424556+0,026300942202164i</v>
      </c>
      <c r="AA239" s="4">
        <f t="shared" si="230"/>
        <v>1.00032434583532</v>
      </c>
      <c r="AB239" s="4">
        <f t="shared" si="231"/>
        <v>0.0262954445949411</v>
      </c>
      <c r="AC239" s="67" t="str">
        <f t="shared" si="232"/>
        <v>0,495001898962118-4,54270354233i</v>
      </c>
      <c r="AD239" s="68">
        <f t="shared" si="233"/>
        <v>13.1975508604724</v>
      </c>
      <c r="AE239" s="31">
        <f t="shared" si="234"/>
        <v>-83.7812228739513</v>
      </c>
      <c r="AF239" s="32" t="str">
        <f t="shared" si="235"/>
        <v>249,914648392112</v>
      </c>
      <c r="AG239" s="32" t="str">
        <f t="shared" si="217"/>
        <v>1+10,6996400434991i</v>
      </c>
      <c r="AH239" s="32">
        <f t="shared" si="236"/>
        <v>10.7462689832541</v>
      </c>
      <c r="AI239" s="32">
        <f t="shared" si="237"/>
        <v>1.47760594814572</v>
      </c>
      <c r="AJ239" s="32" t="str">
        <f t="shared" si="218"/>
        <v>1+0,159781291316254i</v>
      </c>
      <c r="AK239" s="32">
        <f t="shared" si="238"/>
        <v>1.01268458122689</v>
      </c>
      <c r="AL239" s="32">
        <f t="shared" si="239"/>
        <v>0.158442005416698</v>
      </c>
      <c r="AM239" s="32" t="str">
        <f t="shared" si="219"/>
        <v>1-0,0161694560854465i</v>
      </c>
      <c r="AN239" s="32">
        <f t="shared" si="240"/>
        <v>1.00013071711157</v>
      </c>
      <c r="AO239" s="32">
        <f t="shared" si="241"/>
        <v>-0.0161680471313046</v>
      </c>
      <c r="AP239" s="30" t="str">
        <f t="shared" si="242"/>
        <v>5,49502324655667-22,904069462163i</v>
      </c>
      <c r="AQ239" s="32">
        <f t="shared" si="243"/>
        <v>27.4412993825438</v>
      </c>
      <c r="AR239" s="31">
        <f t="shared" si="244"/>
        <v>-76.5088872678027</v>
      </c>
      <c r="AS239" t="str">
        <f t="shared" si="220"/>
        <v>-0,000100699300699301</v>
      </c>
      <c r="AT239" t="str">
        <f t="shared" si="221"/>
        <v>0,00228972296930882i</v>
      </c>
      <c r="AU239">
        <f t="shared" si="245"/>
        <v>0.00228972296930882</v>
      </c>
      <c r="AV239">
        <f t="shared" si="246"/>
        <v>1.5707963267949</v>
      </c>
      <c r="AW239" t="str">
        <f t="shared" si="222"/>
        <v>1+0,117229616260603i</v>
      </c>
      <c r="AX239">
        <f t="shared" si="247"/>
        <v>1.00684794429378</v>
      </c>
      <c r="AY239">
        <f t="shared" si="248"/>
        <v>0.116696980955779</v>
      </c>
      <c r="AZ239" t="str">
        <f t="shared" si="223"/>
        <v>1+5,6045733561186i</v>
      </c>
      <c r="BA239">
        <f t="shared" si="249"/>
        <v>5.69308725597233</v>
      </c>
      <c r="BB239">
        <f t="shared" si="250"/>
        <v>1.39422868640602</v>
      </c>
      <c r="BC239" s="30" t="str">
        <f t="shared" si="251"/>
        <v>-0,238055327290209+0,0718859487196675i</v>
      </c>
      <c r="BD239" s="32">
        <f t="shared" si="252"/>
        <v>-12.087450673939</v>
      </c>
      <c r="BE239" s="31">
        <f t="shared" si="253"/>
        <v>163.197174916449</v>
      </c>
      <c r="BF239" s="30" t="str">
        <f t="shared" si="254"/>
        <v>0,208718714825884+1,11699845967669i</v>
      </c>
      <c r="BG239" s="68">
        <f t="shared" si="255"/>
        <v>1.11010018653344</v>
      </c>
      <c r="BH239" s="31">
        <f t="shared" si="256"/>
        <v>79.415952042498</v>
      </c>
      <c r="BI239" s="30" t="str">
        <f t="shared" si="209"/>
        <v>0,338361205402397+5,84745071140825i</v>
      </c>
      <c r="BJ239" s="68">
        <f t="shared" si="257"/>
        <v>15.3538487086048</v>
      </c>
      <c r="BK239" s="31">
        <f t="shared" si="210"/>
        <v>86.6882876486466</v>
      </c>
      <c r="BL239" s="32">
        <f t="shared" si="258"/>
        <v>1.11010018653344</v>
      </c>
      <c r="BM239" s="31">
        <f t="shared" si="259"/>
        <v>79.415952042498</v>
      </c>
      <c r="BO239">
        <f t="shared" si="260"/>
        <v>0</v>
      </c>
      <c r="BP239">
        <f t="shared" si="261"/>
        <v>0</v>
      </c>
    </row>
    <row r="240" spans="14:68">
      <c r="N240" s="7">
        <v>22</v>
      </c>
      <c r="O240" s="18">
        <f t="shared" si="262"/>
        <v>1659.58690743756</v>
      </c>
      <c r="P240" s="86" t="str">
        <f t="shared" si="212"/>
        <v>75</v>
      </c>
      <c r="Q240" s="4" t="str">
        <f t="shared" si="213"/>
        <v>1+17,0315703855722i</v>
      </c>
      <c r="R240" s="4">
        <f t="shared" si="224"/>
        <v>17.0609023735176</v>
      </c>
      <c r="S240" s="4">
        <f t="shared" si="225"/>
        <v>1.51214916637837</v>
      </c>
      <c r="T240" s="4" t="str">
        <f t="shared" si="214"/>
        <v>1+0,163503075701493i</v>
      </c>
      <c r="U240" s="4">
        <f t="shared" si="226"/>
        <v>1.01327846901227</v>
      </c>
      <c r="V240" s="4">
        <f t="shared" si="227"/>
        <v>0.162069018728812</v>
      </c>
      <c r="W240" t="str">
        <f t="shared" si="215"/>
        <v>1-0,0857661222987742i</v>
      </c>
      <c r="X240" s="4">
        <f t="shared" si="228"/>
        <v>1.00367117510376</v>
      </c>
      <c r="Y240" s="4">
        <f t="shared" si="229"/>
        <v>-0.0855567519730693</v>
      </c>
      <c r="Z240" t="str">
        <f t="shared" si="216"/>
        <v>0,999977516500381+0,0269135698458557i</v>
      </c>
      <c r="AA240" s="4">
        <f t="shared" si="230"/>
        <v>1.00033962920006</v>
      </c>
      <c r="AB240" s="4">
        <f t="shared" si="231"/>
        <v>0.0269076791614742</v>
      </c>
      <c r="AC240" s="67" t="str">
        <f t="shared" si="232"/>
        <v>0,482856892326882-4,44306273146751i</v>
      </c>
      <c r="AD240" s="68">
        <f t="shared" si="233"/>
        <v>13.004641152486</v>
      </c>
      <c r="AE240" s="31">
        <f t="shared" si="234"/>
        <v>-83.7976317140676</v>
      </c>
      <c r="AF240" s="32" t="str">
        <f t="shared" si="235"/>
        <v>249,914648392112</v>
      </c>
      <c r="AG240" s="32" t="str">
        <f t="shared" si="217"/>
        <v>1+10,9488666764393i</v>
      </c>
      <c r="AH240" s="32">
        <f t="shared" si="236"/>
        <v>10.9944386622712</v>
      </c>
      <c r="AI240" s="32">
        <f t="shared" si="237"/>
        <v>1.47971537273706</v>
      </c>
      <c r="AJ240" s="32" t="str">
        <f t="shared" si="218"/>
        <v>1+0,163503075701493i</v>
      </c>
      <c r="AK240" s="32">
        <f t="shared" si="238"/>
        <v>1.01327846901227</v>
      </c>
      <c r="AL240" s="32">
        <f t="shared" si="239"/>
        <v>0.162069018728812</v>
      </c>
      <c r="AM240" s="32" t="str">
        <f t="shared" si="219"/>
        <v>1-0,0165460911012289i</v>
      </c>
      <c r="AN240" s="32">
        <f t="shared" si="240"/>
        <v>1.00013687719768</v>
      </c>
      <c r="AO240" s="32">
        <f t="shared" si="241"/>
        <v>-0.0165445813908246</v>
      </c>
      <c r="AP240" s="30" t="str">
        <f t="shared" si="242"/>
        <v>5,39972739123028-22,3941921605577i</v>
      </c>
      <c r="AQ240" s="32">
        <f t="shared" si="243"/>
        <v>27.2481381433567</v>
      </c>
      <c r="AR240" s="31">
        <f t="shared" si="244"/>
        <v>-76.4435096629783</v>
      </c>
      <c r="AS240" t="str">
        <f t="shared" si="220"/>
        <v>-0,000100699300699301</v>
      </c>
      <c r="AT240" t="str">
        <f t="shared" si="221"/>
        <v>0,002343057468758i</v>
      </c>
      <c r="AU240">
        <f t="shared" si="245"/>
        <v>0.002343057468758</v>
      </c>
      <c r="AV240">
        <f t="shared" si="246"/>
        <v>1.5707963267949</v>
      </c>
      <c r="AW240" t="str">
        <f t="shared" si="222"/>
        <v>1+0,119960244807237i</v>
      </c>
      <c r="AX240">
        <f t="shared" si="247"/>
        <v>1.0071695290934</v>
      </c>
      <c r="AY240">
        <f t="shared" si="248"/>
        <v>0.119389734989446</v>
      </c>
      <c r="AZ240" t="str">
        <f t="shared" si="223"/>
        <v>1+5,73512064003961i</v>
      </c>
      <c r="BA240">
        <f t="shared" si="249"/>
        <v>5.82165000286073</v>
      </c>
      <c r="BB240">
        <f t="shared" si="250"/>
        <v>1.3981675870969</v>
      </c>
      <c r="BC240" s="30" t="str">
        <f t="shared" si="251"/>
        <v>-0,237903331522505+0,0715166759156353i</v>
      </c>
      <c r="BD240" s="32">
        <f t="shared" si="252"/>
        <v>-12.096259443258</v>
      </c>
      <c r="BE240" s="31">
        <f t="shared" si="253"/>
        <v>163.268573860561</v>
      </c>
      <c r="BF240" s="30" t="str">
        <f t="shared" si="254"/>
        <v>0,202879814106031+1,09155174586177i</v>
      </c>
      <c r="BG240" s="68">
        <f t="shared" si="255"/>
        <v>0.908381709227962</v>
      </c>
      <c r="BH240" s="31">
        <f t="shared" si="256"/>
        <v>79.4709421464938</v>
      </c>
      <c r="BI240" s="30" t="str">
        <f t="shared" si="209"/>
        <v>0,316945047452058+5,71382347562324i</v>
      </c>
      <c r="BJ240" s="68">
        <f t="shared" si="257"/>
        <v>15.1518787000987</v>
      </c>
      <c r="BK240" s="31">
        <f t="shared" si="210"/>
        <v>86.8250641975831</v>
      </c>
      <c r="BL240" s="32">
        <f t="shared" si="258"/>
        <v>0.908381709227962</v>
      </c>
      <c r="BM240" s="31">
        <f t="shared" si="259"/>
        <v>79.4709421464938</v>
      </c>
      <c r="BO240">
        <f t="shared" si="260"/>
        <v>0</v>
      </c>
      <c r="BP240">
        <f t="shared" si="261"/>
        <v>0</v>
      </c>
    </row>
    <row r="241" spans="14:68">
      <c r="N241" s="7">
        <v>23</v>
      </c>
      <c r="O241" s="18">
        <f t="shared" si="262"/>
        <v>1698.24365246174</v>
      </c>
      <c r="P241" s="86" t="str">
        <f t="shared" si="212"/>
        <v>75</v>
      </c>
      <c r="Q241" s="4" t="str">
        <f t="shared" si="213"/>
        <v>1+17,4282866230924i</v>
      </c>
      <c r="R241" s="4">
        <f t="shared" si="224"/>
        <v>17.4569520425721</v>
      </c>
      <c r="S241" s="4">
        <f t="shared" si="225"/>
        <v>1.5134811831348</v>
      </c>
      <c r="T241" s="4" t="str">
        <f t="shared" si="214"/>
        <v>1+0,167311551581687i</v>
      </c>
      <c r="U241" s="4">
        <f t="shared" si="226"/>
        <v>1.01389997302134</v>
      </c>
      <c r="V241" s="4">
        <f t="shared" si="227"/>
        <v>0.16577606731541</v>
      </c>
      <c r="W241" t="str">
        <f t="shared" si="215"/>
        <v>1-0,0877638719234295i</v>
      </c>
      <c r="X241" s="4">
        <f t="shared" si="228"/>
        <v>1.0038438609739</v>
      </c>
      <c r="Y241" s="4">
        <f t="shared" si="229"/>
        <v>-0.0875395739475386</v>
      </c>
      <c r="Z241" t="str">
        <f t="shared" si="216"/>
        <v>0,999976456885689+0,0275404674205226i</v>
      </c>
      <c r="AA241" s="4">
        <f t="shared" si="230"/>
        <v>1.00035563259843</v>
      </c>
      <c r="AB241" s="4">
        <f t="shared" si="231"/>
        <v>0.0275341555595363</v>
      </c>
      <c r="AC241" s="67" t="str">
        <f t="shared" si="232"/>
        <v>0,471247303529925-4,34571392710433i</v>
      </c>
      <c r="AD241" s="68">
        <f t="shared" si="233"/>
        <v>12.8119940328705</v>
      </c>
      <c r="AE241" s="31">
        <f t="shared" si="234"/>
        <v>-83.8110541982261</v>
      </c>
      <c r="AF241" s="32" t="str">
        <f t="shared" si="235"/>
        <v>249,914648392112</v>
      </c>
      <c r="AG241" s="32" t="str">
        <f t="shared" si="217"/>
        <v>1+11,2038985434165i</v>
      </c>
      <c r="AH241" s="32">
        <f t="shared" si="236"/>
        <v>11.2484373390783</v>
      </c>
      <c r="AI241" s="32">
        <f t="shared" si="237"/>
        <v>1.48177756666586</v>
      </c>
      <c r="AJ241" s="32" t="str">
        <f t="shared" si="218"/>
        <v>1+0,167311551581687i</v>
      </c>
      <c r="AK241" s="32">
        <f t="shared" si="238"/>
        <v>1.01389997302134</v>
      </c>
      <c r="AL241" s="32">
        <f t="shared" si="239"/>
        <v>0.16577606731541</v>
      </c>
      <c r="AM241" s="32" t="str">
        <f t="shared" si="219"/>
        <v>1-0,0169314990735264i</v>
      </c>
      <c r="AN241" s="32">
        <f t="shared" si="240"/>
        <v>1.00014332755904</v>
      </c>
      <c r="AO241" s="32">
        <f t="shared" si="241"/>
        <v>-0.0169298814022033</v>
      </c>
      <c r="AP241" s="30" t="str">
        <f t="shared" si="242"/>
        <v>5,30865116241388-21,8954110783108i</v>
      </c>
      <c r="AQ241" s="32">
        <f t="shared" si="243"/>
        <v>27.0551374493163</v>
      </c>
      <c r="AR241" s="31">
        <f t="shared" si="244"/>
        <v>-76.3713424976726</v>
      </c>
      <c r="AS241" t="str">
        <f t="shared" si="220"/>
        <v>-0,000100699300699301</v>
      </c>
      <c r="AT241" t="str">
        <f t="shared" si="221"/>
        <v>0,00239763428829114i</v>
      </c>
      <c r="AU241">
        <f t="shared" si="245"/>
        <v>0.00239763428829114</v>
      </c>
      <c r="AV241">
        <f t="shared" si="246"/>
        <v>1.5707963267949</v>
      </c>
      <c r="AW241" t="str">
        <f t="shared" si="222"/>
        <v>1+0,122754477863529i</v>
      </c>
      <c r="AX241">
        <f t="shared" si="247"/>
        <v>1.00750615970105</v>
      </c>
      <c r="AY241">
        <f t="shared" si="248"/>
        <v>0.122143411289811</v>
      </c>
      <c r="AZ241" t="str">
        <f t="shared" si="223"/>
        <v>1+5,86870876083722i</v>
      </c>
      <c r="BA241">
        <f t="shared" si="249"/>
        <v>5.95329677737701</v>
      </c>
      <c r="BB241">
        <f t="shared" si="250"/>
        <v>1.40202206260802</v>
      </c>
      <c r="BC241" s="30" t="str">
        <f t="shared" si="251"/>
        <v>-0,237744380307992+0,0711836286319865i</v>
      </c>
      <c r="BD241" s="32">
        <f t="shared" si="252"/>
        <v>-12.1049332617449</v>
      </c>
      <c r="BE241" s="31">
        <f t="shared" si="253"/>
        <v>163.331645009429</v>
      </c>
      <c r="BF241" s="30" t="str">
        <f t="shared" si="254"/>
        <v>0,197307288178312+1,06671415764353i</v>
      </c>
      <c r="BG241" s="68">
        <f t="shared" si="255"/>
        <v>0.70706077112556</v>
      </c>
      <c r="BH241" s="31">
        <f t="shared" si="256"/>
        <v>79.5205908112031</v>
      </c>
      <c r="BI241" s="30" t="str">
        <f t="shared" si="209"/>
        <v>0,29649283006377+5,58339999128378i</v>
      </c>
      <c r="BJ241" s="68">
        <f t="shared" si="257"/>
        <v>14.9502041875714</v>
      </c>
      <c r="BK241" s="31">
        <f t="shared" si="210"/>
        <v>86.9603025117566</v>
      </c>
      <c r="BL241" s="32">
        <f t="shared" si="258"/>
        <v>0.70706077112556</v>
      </c>
      <c r="BM241" s="31">
        <f t="shared" si="259"/>
        <v>79.5205908112031</v>
      </c>
      <c r="BO241">
        <f t="shared" si="260"/>
        <v>0</v>
      </c>
      <c r="BP241">
        <f t="shared" si="261"/>
        <v>0</v>
      </c>
    </row>
    <row r="242" spans="14:68">
      <c r="N242" s="7">
        <v>24</v>
      </c>
      <c r="O242" s="18">
        <f t="shared" si="262"/>
        <v>1737.80082874938</v>
      </c>
      <c r="P242" s="86" t="str">
        <f t="shared" si="212"/>
        <v>75</v>
      </c>
      <c r="Q242" s="4" t="str">
        <f t="shared" si="213"/>
        <v>1+17,8342435688709i</v>
      </c>
      <c r="R242" s="4">
        <f t="shared" si="224"/>
        <v>17.8622575189648</v>
      </c>
      <c r="S242" s="4">
        <f t="shared" si="225"/>
        <v>1.51478307626105</v>
      </c>
      <c r="T242" s="4" t="str">
        <f t="shared" si="214"/>
        <v>1+0,171208738261161i</v>
      </c>
      <c r="U242" s="4">
        <f t="shared" si="226"/>
        <v>1.01455035954702</v>
      </c>
      <c r="V242" s="4">
        <f t="shared" si="227"/>
        <v>0.169564708952315</v>
      </c>
      <c r="W242" t="str">
        <f t="shared" si="215"/>
        <v>1-0,0898081551146714i</v>
      </c>
      <c r="X242" s="4">
        <f t="shared" si="228"/>
        <v>1.00402465344487</v>
      </c>
      <c r="Y242" s="4">
        <f t="shared" si="229"/>
        <v>-0.0895678675052413</v>
      </c>
      <c r="Z242" t="str">
        <f t="shared" si="216"/>
        <v>0,999975347332895+0,0281819673155573i</v>
      </c>
      <c r="AA242" s="4">
        <f t="shared" si="230"/>
        <v>1.00037238994053</v>
      </c>
      <c r="AB242" s="4">
        <f t="shared" si="231"/>
        <v>0.028175204170472</v>
      </c>
      <c r="AC242" s="67" t="str">
        <f t="shared" si="232"/>
        <v>0,460148999079487-4,25060971421959i</v>
      </c>
      <c r="AD242" s="68">
        <f t="shared" si="233"/>
        <v>12.619624126397</v>
      </c>
      <c r="AE242" s="31">
        <f t="shared" si="234"/>
        <v>-83.8215160441943</v>
      </c>
      <c r="AF242" s="32" t="str">
        <f t="shared" si="235"/>
        <v>249,914648392112</v>
      </c>
      <c r="AG242" s="32" t="str">
        <f t="shared" si="217"/>
        <v>1+11,4648708657027i</v>
      </c>
      <c r="AH242" s="32">
        <f t="shared" si="236"/>
        <v>11.5083997135674</v>
      </c>
      <c r="AI242" s="32">
        <f t="shared" si="237"/>
        <v>1.48379355313763</v>
      </c>
      <c r="AJ242" s="32" t="str">
        <f t="shared" si="218"/>
        <v>1+0,171208738261161i</v>
      </c>
      <c r="AK242" s="32">
        <f t="shared" si="238"/>
        <v>1.01455035954702</v>
      </c>
      <c r="AL242" s="32">
        <f t="shared" si="239"/>
        <v>0.169564708952315</v>
      </c>
      <c r="AM242" s="32" t="str">
        <f t="shared" si="219"/>
        <v>1-0,0173258843507477i</v>
      </c>
      <c r="AN242" s="32">
        <f t="shared" si="240"/>
        <v>1.00015008187198</v>
      </c>
      <c r="AO242" s="32">
        <f t="shared" si="241"/>
        <v>-0.0173241509987433</v>
      </c>
      <c r="AP242" s="30" t="str">
        <f t="shared" si="242"/>
        <v>5,22161068071123-21,4075128367325i</v>
      </c>
      <c r="AQ242" s="32">
        <f t="shared" si="243"/>
        <v>26.862311176736</v>
      </c>
      <c r="AR242" s="31">
        <f t="shared" si="244"/>
        <v>-76.29236682205</v>
      </c>
      <c r="AS242" t="str">
        <f t="shared" si="220"/>
        <v>-0,000100699300699301</v>
      </c>
      <c r="AT242" t="str">
        <f t="shared" si="221"/>
        <v>0,00245348236526039i</v>
      </c>
      <c r="AU242">
        <f t="shared" si="245"/>
        <v>0.00245348236526039</v>
      </c>
      <c r="AV242">
        <f t="shared" si="246"/>
        <v>1.5707963267949</v>
      </c>
      <c r="AW242" t="str">
        <f t="shared" si="222"/>
        <v>1+0,125613796968833i</v>
      </c>
      <c r="AX242">
        <f t="shared" si="247"/>
        <v>1.00785853471057</v>
      </c>
      <c r="AY242">
        <f t="shared" si="248"/>
        <v>0.124959302759731</v>
      </c>
      <c r="AZ242" t="str">
        <f t="shared" si="223"/>
        <v>1+6,00540854870142i</v>
      </c>
      <c r="BA242">
        <f t="shared" si="249"/>
        <v>6.08809755480446</v>
      </c>
      <c r="BB242">
        <f t="shared" si="250"/>
        <v>1.40579369827723</v>
      </c>
      <c r="BC242" s="30" t="str">
        <f t="shared" si="251"/>
        <v>-0,237578165446802+0,0708865127972436i</v>
      </c>
      <c r="BD242" s="32">
        <f t="shared" si="252"/>
        <v>-12.1134892218733</v>
      </c>
      <c r="BE242" s="31">
        <f t="shared" si="253"/>
        <v>163.386405118343</v>
      </c>
      <c r="BF242" s="30" t="str">
        <f t="shared" si="254"/>
        <v>0,191989544869628+1,04247041584653i</v>
      </c>
      <c r="BG242" s="68">
        <f t="shared" si="255"/>
        <v>0.506134904523695</v>
      </c>
      <c r="BH242" s="31">
        <f t="shared" si="256"/>
        <v>79.5648890741484</v>
      </c>
      <c r="BI242" s="30" t="str">
        <f t="shared" ref="BI242:BI305" si="263">IMPRODUCT(AP242,BC242)</f>
        <v>0,276963246457394+5,45609939887023i</v>
      </c>
      <c r="BJ242" s="68">
        <f t="shared" si="257"/>
        <v>14.7488219548628</v>
      </c>
      <c r="BK242" s="31">
        <f t="shared" ref="BK242:BK305" si="264">(180/PI())*IMARGUMENT(BI242)</f>
        <v>87.0940382962927</v>
      </c>
      <c r="BL242" s="32">
        <f t="shared" si="258"/>
        <v>0.506134904523695</v>
      </c>
      <c r="BM242" s="31">
        <f t="shared" si="259"/>
        <v>79.5648890741484</v>
      </c>
      <c r="BO242">
        <f t="shared" si="260"/>
        <v>0</v>
      </c>
      <c r="BP242">
        <f t="shared" si="261"/>
        <v>0</v>
      </c>
    </row>
    <row r="243" spans="14:68">
      <c r="N243" s="7">
        <v>25</v>
      </c>
      <c r="O243" s="18">
        <f t="shared" si="262"/>
        <v>1778.27941003892</v>
      </c>
      <c r="P243" s="86" t="str">
        <f t="shared" si="212"/>
        <v>75</v>
      </c>
      <c r="Q243" s="4" t="str">
        <f t="shared" si="213"/>
        <v>1+18,2496564666536i</v>
      </c>
      <c r="R243" s="4">
        <f t="shared" si="224"/>
        <v>18.2770337076581</v>
      </c>
      <c r="S243" s="4">
        <f t="shared" si="225"/>
        <v>1.51605551837519</v>
      </c>
      <c r="T243" s="4" t="str">
        <f t="shared" si="214"/>
        <v>1+0,175196702079875i</v>
      </c>
      <c r="U243" s="4">
        <f t="shared" si="226"/>
        <v>1.01523095127151</v>
      </c>
      <c r="V243" s="4">
        <f t="shared" si="227"/>
        <v>0.173436517157383</v>
      </c>
      <c r="W243" t="str">
        <f t="shared" si="215"/>
        <v>1-0,0919000557785057i</v>
      </c>
      <c r="X243" s="4">
        <f t="shared" si="228"/>
        <v>1.00421393151663</v>
      </c>
      <c r="Y243" s="4">
        <f t="shared" si="229"/>
        <v>-0.0916426412825034</v>
      </c>
      <c r="Z243" t="str">
        <f t="shared" si="216"/>
        <v>0,999974185488488+0,0288384096626949i</v>
      </c>
      <c r="AA243" s="4">
        <f t="shared" si="230"/>
        <v>1.00038993673229</v>
      </c>
      <c r="AB243" s="4">
        <f t="shared" si="231"/>
        <v>0.0288311629745497</v>
      </c>
      <c r="AC243" s="67" t="str">
        <f t="shared" si="232"/>
        <v>0,449538887106809-4,15770358852621i</v>
      </c>
      <c r="AD243" s="68">
        <f t="shared" si="233"/>
        <v>12.4275465580533</v>
      </c>
      <c r="AE243" s="31">
        <f t="shared" si="234"/>
        <v>-83.8290427896649</v>
      </c>
      <c r="AF243" s="32" t="str">
        <f t="shared" si="235"/>
        <v>249,914648392112</v>
      </c>
      <c r="AG243" s="32" t="str">
        <f t="shared" si="217"/>
        <v>1+11,7319220142773i</v>
      </c>
      <c r="AH243" s="32">
        <f t="shared" si="236"/>
        <v>11.7744636459197</v>
      </c>
      <c r="AI243" s="32">
        <f t="shared" si="237"/>
        <v>1.48576433547173</v>
      </c>
      <c r="AJ243" s="32" t="str">
        <f t="shared" si="218"/>
        <v>1+0,175196702079875i</v>
      </c>
      <c r="AK243" s="32">
        <f t="shared" si="238"/>
        <v>1.01523095127151</v>
      </c>
      <c r="AL243" s="32">
        <f t="shared" si="239"/>
        <v>0.173436517157383</v>
      </c>
      <c r="AM243" s="32" t="str">
        <f t="shared" si="219"/>
        <v>1-0,0177294560411868i</v>
      </c>
      <c r="AN243" s="32">
        <f t="shared" si="240"/>
        <v>1.000157154457</v>
      </c>
      <c r="AO243" s="32">
        <f t="shared" si="241"/>
        <v>-0.0177275987368129</v>
      </c>
      <c r="AP243" s="30" t="str">
        <f t="shared" si="242"/>
        <v>5,13842982068595-20,9302865050915i</v>
      </c>
      <c r="AQ243" s="32">
        <f t="shared" si="243"/>
        <v>26.6696734967566</v>
      </c>
      <c r="AR243" s="31">
        <f t="shared" si="244"/>
        <v>-76.2065619155443</v>
      </c>
      <c r="AS243" t="str">
        <f t="shared" si="220"/>
        <v>-0,000100699300699301</v>
      </c>
      <c r="AT243" t="str">
        <f t="shared" si="221"/>
        <v>0,00251063131105535i</v>
      </c>
      <c r="AU243">
        <f t="shared" si="245"/>
        <v>0.00251063131105535</v>
      </c>
      <c r="AV243">
        <f t="shared" si="246"/>
        <v>1.5707963267949</v>
      </c>
      <c r="AW243" t="str">
        <f t="shared" si="222"/>
        <v>1+0,128539718171983i</v>
      </c>
      <c r="AX243">
        <f t="shared" si="247"/>
        <v>1.00822738464482</v>
      </c>
      <c r="AY243">
        <f t="shared" si="248"/>
        <v>0.127838723703459</v>
      </c>
      <c r="AZ243" t="str">
        <f t="shared" si="223"/>
        <v>1+6,14529248366907i</v>
      </c>
      <c r="BA243">
        <f t="shared" si="249"/>
        <v>6.22612397160863</v>
      </c>
      <c r="BB243">
        <f t="shared" si="250"/>
        <v>1.4094840644404</v>
      </c>
      <c r="BC243" s="30" t="str">
        <f t="shared" si="251"/>
        <v>-0,237404366038787+0,0706250454214536i</v>
      </c>
      <c r="BD243" s="32">
        <f t="shared" si="252"/>
        <v>-12.1219442292537</v>
      </c>
      <c r="BE243" s="31">
        <f t="shared" si="253"/>
        <v>163.432868856833</v>
      </c>
      <c r="BF243" s="30" t="str">
        <f t="shared" si="254"/>
        <v>0,18691551028523+1,01880568893188i</v>
      </c>
      <c r="BG243" s="68">
        <f t="shared" si="255"/>
        <v>0.305602328799552</v>
      </c>
      <c r="BH243" s="31">
        <f t="shared" si="256"/>
        <v>79.603826067168</v>
      </c>
      <c r="BI243" s="30" t="str">
        <f t="shared" si="263"/>
        <v>0,258316761091379+5,33184323823232i</v>
      </c>
      <c r="BJ243" s="68">
        <f t="shared" si="257"/>
        <v>14.5477292675029</v>
      </c>
      <c r="BK243" s="31">
        <f t="shared" si="264"/>
        <v>87.2263069412886</v>
      </c>
      <c r="BL243" s="32">
        <f t="shared" si="258"/>
        <v>0.305602328799552</v>
      </c>
      <c r="BM243" s="31">
        <f t="shared" si="259"/>
        <v>79.603826067168</v>
      </c>
      <c r="BO243">
        <f t="shared" si="260"/>
        <v>0</v>
      </c>
      <c r="BP243">
        <f t="shared" si="261"/>
        <v>0</v>
      </c>
    </row>
    <row r="244" spans="14:68">
      <c r="N244" s="7">
        <v>26</v>
      </c>
      <c r="O244" s="18">
        <f t="shared" si="262"/>
        <v>1819.70085860998</v>
      </c>
      <c r="P244" s="86" t="str">
        <f t="shared" si="212"/>
        <v>75</v>
      </c>
      <c r="Q244" s="4" t="str">
        <f t="shared" si="213"/>
        <v>1+18,6747455738578i</v>
      </c>
      <c r="R244" s="4">
        <f t="shared" si="224"/>
        <v>18.7015005346716</v>
      </c>
      <c r="S244" s="4">
        <f t="shared" si="225"/>
        <v>1.51729916765178</v>
      </c>
      <c r="T244" s="4" t="str">
        <f t="shared" si="214"/>
        <v>1+0,179277557509035i</v>
      </c>
      <c r="U244" s="4">
        <f t="shared" si="226"/>
        <v>1.01594312962213</v>
      </c>
      <c r="V244" s="4">
        <f t="shared" si="227"/>
        <v>0.177393080247567</v>
      </c>
      <c r="W244" t="str">
        <f t="shared" si="215"/>
        <v>1-0,0940406830683555i</v>
      </c>
      <c r="X244" s="4">
        <f t="shared" si="228"/>
        <v>1.00441209175914</v>
      </c>
      <c r="Y244" s="4">
        <f t="shared" si="229"/>
        <v>-0.0937649238623363</v>
      </c>
      <c r="Z244" t="str">
        <f t="shared" si="216"/>
        <v>0,999972968888042+0,0295101425163573i</v>
      </c>
      <c r="AA244" s="4">
        <f t="shared" si="230"/>
        <v>1.00040831015046</v>
      </c>
      <c r="AB244" s="4">
        <f t="shared" si="231"/>
        <v>0.0295023777210726</v>
      </c>
      <c r="AC244" s="67" t="str">
        <f t="shared" si="232"/>
        <v>0,439394872136738-4,06694994999707i</v>
      </c>
      <c r="AD244" s="68">
        <f t="shared" si="233"/>
        <v>12.2357769768978</v>
      </c>
      <c r="AE244" s="31">
        <f t="shared" si="234"/>
        <v>-83.8336598848441</v>
      </c>
      <c r="AF244" s="32" t="str">
        <f t="shared" si="235"/>
        <v>249,914648392112</v>
      </c>
      <c r="AG244" s="32" t="str">
        <f t="shared" si="217"/>
        <v>1+12,0051935831943i</v>
      </c>
      <c r="AH244" s="32">
        <f t="shared" si="236"/>
        <v>12.0467702298155</v>
      </c>
      <c r="AI244" s="32">
        <f t="shared" si="237"/>
        <v>1.4876908973332</v>
      </c>
      <c r="AJ244" s="32" t="str">
        <f t="shared" si="218"/>
        <v>1+0,179277557509035i</v>
      </c>
      <c r="AK244" s="32">
        <f t="shared" si="238"/>
        <v>1.01594312962213</v>
      </c>
      <c r="AL244" s="32">
        <f t="shared" si="239"/>
        <v>0.177393080247567</v>
      </c>
      <c r="AM244" s="32" t="str">
        <f t="shared" si="219"/>
        <v>1-0,0181424281238962i</v>
      </c>
      <c r="AN244" s="32">
        <f t="shared" si="240"/>
        <v>1.00016456030907</v>
      </c>
      <c r="AO244" s="32">
        <f t="shared" si="241"/>
        <v>-0.0181404380040883</v>
      </c>
      <c r="AP244" s="30" t="str">
        <f t="shared" si="242"/>
        <v>5,05893990665147-20,4635237011934i</v>
      </c>
      <c r="AQ244" s="32">
        <f t="shared" si="243"/>
        <v>26.4772388972954</v>
      </c>
      <c r="AR244" s="31">
        <f t="shared" si="244"/>
        <v>-76.1139053603643</v>
      </c>
      <c r="AS244" t="str">
        <f t="shared" si="220"/>
        <v>-0,000100699300699301</v>
      </c>
      <c r="AT244" t="str">
        <f t="shared" si="221"/>
        <v>0,00256911142680358i</v>
      </c>
      <c r="AU244">
        <f t="shared" si="245"/>
        <v>0.00256911142680358</v>
      </c>
      <c r="AV244">
        <f t="shared" si="246"/>
        <v>1.5707963267949</v>
      </c>
      <c r="AW244" t="str">
        <f t="shared" si="222"/>
        <v>1+0,131533792835134i</v>
      </c>
      <c r="AX244">
        <f t="shared" si="247"/>
        <v>1.00861347336708</v>
      </c>
      <c r="AY244">
        <f t="shared" si="248"/>
        <v>0.13078300973857</v>
      </c>
      <c r="AZ244" t="str">
        <f t="shared" si="223"/>
        <v>1+6,28843473405416i</v>
      </c>
      <c r="BA244">
        <f t="shared" si="249"/>
        <v>6.36744936410638</v>
      </c>
      <c r="BB244">
        <f t="shared" si="250"/>
        <v>1.41309471550798</v>
      </c>
      <c r="BC244" s="30" t="str">
        <f t="shared" si="251"/>
        <v>-0,237222648051495+0,0703989539270361i</v>
      </c>
      <c r="BD244" s="32">
        <f t="shared" si="252"/>
        <v>-12.1303150287951</v>
      </c>
      <c r="BE244" s="31">
        <f t="shared" si="253"/>
        <v>163.471048760809</v>
      </c>
      <c r="BF244" s="30" t="str">
        <f t="shared" si="254"/>
        <v>0,18207460704488+0,99570557599053i</v>
      </c>
      <c r="BG244" s="68">
        <f t="shared" si="255"/>
        <v>0.105461948102678</v>
      </c>
      <c r="BH244" s="31">
        <f t="shared" si="256"/>
        <v>79.6373888759647</v>
      </c>
      <c r="BI244" s="30" t="str">
        <f t="shared" si="263"/>
        <v>0,240515541235881+5,21055535826963i</v>
      </c>
      <c r="BJ244" s="68">
        <f t="shared" si="257"/>
        <v>14.3469238685003</v>
      </c>
      <c r="BK244" s="31">
        <f t="shared" si="264"/>
        <v>87.3571434004445</v>
      </c>
      <c r="BL244" s="32">
        <f t="shared" si="258"/>
        <v>0.105461948102678</v>
      </c>
      <c r="BM244" s="31">
        <f t="shared" si="259"/>
        <v>79.6373888759647</v>
      </c>
      <c r="BO244">
        <f t="shared" si="260"/>
        <v>1819.70085860998</v>
      </c>
      <c r="BP244">
        <f t="shared" si="261"/>
        <v>79.6373888759647</v>
      </c>
    </row>
    <row r="245" spans="14:68">
      <c r="N245" s="7">
        <v>27</v>
      </c>
      <c r="O245" s="18">
        <f t="shared" si="262"/>
        <v>1862.08713666287</v>
      </c>
      <c r="P245" s="86" t="str">
        <f t="shared" si="212"/>
        <v>75</v>
      </c>
      <c r="Q245" s="4" t="str">
        <f t="shared" si="213"/>
        <v>1+19,1097362783549i</v>
      </c>
      <c r="R245" s="4">
        <f t="shared" si="224"/>
        <v>19.1358830637176</v>
      </c>
      <c r="S245" s="4">
        <f t="shared" si="225"/>
        <v>1.51851466809333</v>
      </c>
      <c r="T245" s="4" t="str">
        <f t="shared" si="214"/>
        <v>1+0,183453468272207i</v>
      </c>
      <c r="U245" s="4">
        <f t="shared" si="226"/>
        <v>1.01668833721111</v>
      </c>
      <c r="V245" s="4">
        <f t="shared" si="227"/>
        <v>0.181436000298442</v>
      </c>
      <c r="W245" t="str">
        <f t="shared" si="215"/>
        <v>1-0,0962311719731443i</v>
      </c>
      <c r="X245" s="4">
        <f t="shared" si="228"/>
        <v>1.00461954911266</v>
      </c>
      <c r="Y245" s="4">
        <f t="shared" si="229"/>
        <v>-0.095935763993345</v>
      </c>
      <c r="Z245" t="str">
        <f t="shared" si="216"/>
        <v>0,999971694950983+0,030197522038195i</v>
      </c>
      <c r="AA245" s="4">
        <f t="shared" si="230"/>
        <v>1.00042754912107</v>
      </c>
      <c r="AB245" s="4">
        <f t="shared" si="231"/>
        <v>0.0301892021019584</v>
      </c>
      <c r="AC245" s="67" t="str">
        <f t="shared" si="232"/>
        <v>0,429695811647569-3,97830409568241i</v>
      </c>
      <c r="AD245" s="68">
        <f t="shared" si="233"/>
        <v>12.0443315803202</v>
      </c>
      <c r="AE245" s="31">
        <f t="shared" si="234"/>
        <v>-83.8353927901133</v>
      </c>
      <c r="AF245" s="32" t="str">
        <f t="shared" si="235"/>
        <v>249,914648392112</v>
      </c>
      <c r="AG245" s="32" t="str">
        <f t="shared" si="217"/>
        <v>1+12,2848304646567i</v>
      </c>
      <c r="AH245" s="32">
        <f t="shared" si="236"/>
        <v>12.3254638673503</v>
      </c>
      <c r="AI245" s="32">
        <f t="shared" si="237"/>
        <v>1.48957420297317</v>
      </c>
      <c r="AJ245" s="32" t="str">
        <f t="shared" si="218"/>
        <v>1+0,183453468272207i</v>
      </c>
      <c r="AK245" s="32">
        <f t="shared" si="238"/>
        <v>1.01668833721111</v>
      </c>
      <c r="AL245" s="32">
        <f t="shared" si="239"/>
        <v>0.181436000298442</v>
      </c>
      <c r="AM245" s="32" t="str">
        <f t="shared" si="219"/>
        <v>1-0,0185650195621404i</v>
      </c>
      <c r="AN245" s="32">
        <f t="shared" si="240"/>
        <v>1.00017231512942</v>
      </c>
      <c r="AO245" s="32">
        <f t="shared" si="241"/>
        <v>-0.0185628871301884</v>
      </c>
      <c r="AP245" s="30" t="str">
        <f t="shared" si="242"/>
        <v>4,98297941835983-20,007018680127i</v>
      </c>
      <c r="AQ245" s="32">
        <f t="shared" si="243"/>
        <v>26.2850222050658</v>
      </c>
      <c r="AR245" s="31">
        <f t="shared" si="244"/>
        <v>-76.0143731212285</v>
      </c>
      <c r="AS245" t="str">
        <f t="shared" si="220"/>
        <v>-0,000100699300699301</v>
      </c>
      <c r="AT245" t="str">
        <f t="shared" si="221"/>
        <v>0,00262895371943653i</v>
      </c>
      <c r="AU245">
        <f t="shared" si="245"/>
        <v>0.00262895371943653</v>
      </c>
      <c r="AV245">
        <f t="shared" si="246"/>
        <v>1.5707963267949</v>
      </c>
      <c r="AW245" t="str">
        <f t="shared" si="222"/>
        <v>1+0,134597608456302i</v>
      </c>
      <c r="AX245">
        <f t="shared" si="247"/>
        <v>1.00901759955025</v>
      </c>
      <c r="AY245">
        <f t="shared" si="248"/>
        <v>0.133793517668151</v>
      </c>
      <c r="AZ245" t="str">
        <f t="shared" si="223"/>
        <v>1+6,43491119577256i</v>
      </c>
      <c r="BA245">
        <f t="shared" si="249"/>
        <v>6.51214880799564</v>
      </c>
      <c r="BB245">
        <f t="shared" si="250"/>
        <v>1.41662718913249</v>
      </c>
      <c r="BC245" s="30" t="str">
        <f t="shared" si="251"/>
        <v>-0,237032663882489+0,0702079754539113i</v>
      </c>
      <c r="BD245" s="32">
        <f t="shared" si="252"/>
        <v>-12.1386182309061</v>
      </c>
      <c r="BE245" s="31">
        <f t="shared" si="253"/>
        <v>163.500955192178</v>
      </c>
      <c r="BF245" s="30" t="str">
        <f t="shared" si="254"/>
        <v>0,177456733403894+0,973156090531019i</v>
      </c>
      <c r="BG245" s="68">
        <f t="shared" si="255"/>
        <v>-0.0942866505859554</v>
      </c>
      <c r="BH245" s="31">
        <f t="shared" si="256"/>
        <v>79.6655624020651</v>
      </c>
      <c r="BI245" s="30" t="str">
        <f t="shared" si="263"/>
        <v>0,223523390794855+5,09216183078877i</v>
      </c>
      <c r="BJ245" s="68">
        <f t="shared" si="257"/>
        <v>14.1464039741596</v>
      </c>
      <c r="BK245" s="31">
        <f t="shared" si="264"/>
        <v>87.4865820709499</v>
      </c>
      <c r="BL245" s="32">
        <f t="shared" si="258"/>
        <v>-0.0942866505859554</v>
      </c>
      <c r="BM245" s="31">
        <f t="shared" si="259"/>
        <v>79.6655624020651</v>
      </c>
      <c r="BO245">
        <f t="shared" si="260"/>
        <v>0</v>
      </c>
      <c r="BP245">
        <f t="shared" si="261"/>
        <v>0</v>
      </c>
    </row>
    <row r="246" spans="14:68">
      <c r="N246" s="7">
        <v>28</v>
      </c>
      <c r="O246" s="18">
        <f t="shared" si="262"/>
        <v>1905.46071796325</v>
      </c>
      <c r="P246" s="86" t="str">
        <f t="shared" si="212"/>
        <v>75</v>
      </c>
      <c r="Q246" s="4" t="str">
        <f t="shared" si="213"/>
        <v>1+19,5548592179738i</v>
      </c>
      <c r="R246" s="4">
        <f t="shared" si="224"/>
        <v>19.5804116155605</v>
      </c>
      <c r="S246" s="4">
        <f t="shared" si="225"/>
        <v>1.51970264979948</v>
      </c>
      <c r="T246" s="4" t="str">
        <f t="shared" si="214"/>
        <v>1+0,187726648492549i</v>
      </c>
      <c r="U246" s="4">
        <f t="shared" si="226"/>
        <v>1.01746808036137</v>
      </c>
      <c r="V246" s="4">
        <f t="shared" si="227"/>
        <v>0.185566892000477</v>
      </c>
      <c r="W246" t="str">
        <f t="shared" si="215"/>
        <v>1-0,0984726839190826i</v>
      </c>
      <c r="X246" s="4">
        <f t="shared" si="228"/>
        <v>1.00483673772321</v>
      </c>
      <c r="Y246" s="4">
        <f t="shared" si="229"/>
        <v>-0.0981562307971252</v>
      </c>
      <c r="Z246" t="str">
        <f t="shared" si="216"/>
        <v>0,999970360975121+0,0309009126859286i</v>
      </c>
      <c r="AA246" s="4">
        <f t="shared" si="230"/>
        <v>1.00044769440163</v>
      </c>
      <c r="AB246" s="4">
        <f t="shared" si="231"/>
        <v>0.0308919979288374</v>
      </c>
      <c r="AC246" s="67" t="str">
        <f t="shared" si="232"/>
        <v>0,420421474355889-3,89172221188796i</v>
      </c>
      <c r="AD246" s="68">
        <f t="shared" si="233"/>
        <v>11.8532271386954</v>
      </c>
      <c r="AE246" s="31">
        <f t="shared" si="234"/>
        <v>-83.8342670790073</v>
      </c>
      <c r="AF246" s="32" t="str">
        <f t="shared" si="235"/>
        <v>249,914648392112</v>
      </c>
      <c r="AG246" s="32" t="str">
        <f t="shared" si="217"/>
        <v>1+12,5709809258403i</v>
      </c>
      <c r="AH246" s="32">
        <f t="shared" si="236"/>
        <v>12.6106923456978</v>
      </c>
      <c r="AI246" s="32">
        <f t="shared" si="237"/>
        <v>1.49141519747721</v>
      </c>
      <c r="AJ246" s="32" t="str">
        <f t="shared" si="218"/>
        <v>1+0,187726648492549i</v>
      </c>
      <c r="AK246" s="32">
        <f t="shared" si="238"/>
        <v>1.01746808036137</v>
      </c>
      <c r="AL246" s="32">
        <f t="shared" si="239"/>
        <v>0.185566892000477</v>
      </c>
      <c r="AM246" s="32" t="str">
        <f t="shared" si="219"/>
        <v>1-0,0189974544194933i</v>
      </c>
      <c r="AN246" s="32">
        <f t="shared" si="240"/>
        <v>1.00018043535875</v>
      </c>
      <c r="AO246" s="32">
        <f t="shared" si="241"/>
        <v>-0.018995169499752</v>
      </c>
      <c r="AP246" s="30" t="str">
        <f t="shared" si="242"/>
        <v>4,91039370645791-19,5605684119965i</v>
      </c>
      <c r="AQ246" s="32">
        <f t="shared" si="243"/>
        <v>26.0930386076525</v>
      </c>
      <c r="AR246" s="31">
        <f t="shared" si="244"/>
        <v>-75.9079396315983</v>
      </c>
      <c r="AS246" t="str">
        <f t="shared" si="220"/>
        <v>-0,000100699300699301</v>
      </c>
      <c r="AT246" t="str">
        <f t="shared" si="221"/>
        <v>0,00269018991812982i</v>
      </c>
      <c r="AU246">
        <f t="shared" si="245"/>
        <v>0.00269018991812982</v>
      </c>
      <c r="AV246">
        <f t="shared" si="246"/>
        <v>1.5707963267949</v>
      </c>
      <c r="AW246" t="str">
        <f t="shared" si="222"/>
        <v>1+0,137732789511083i</v>
      </c>
      <c r="AX246">
        <f t="shared" si="247"/>
        <v>1.00944059820601</v>
      </c>
      <c r="AY246">
        <f t="shared" si="248"/>
        <v>0.136871625310181</v>
      </c>
      <c r="AZ246" t="str">
        <f t="shared" si="223"/>
        <v>1+6,58479953258302i</v>
      </c>
      <c r="BA246">
        <f t="shared" si="249"/>
        <v>6.66029915876949</v>
      </c>
      <c r="BB246">
        <f t="shared" si="250"/>
        <v>1.42008300546151</v>
      </c>
      <c r="BC246" s="30" t="str">
        <f t="shared" si="251"/>
        <v>-0,236834051916971+0,0700518561369716i</v>
      </c>
      <c r="BD246" s="32">
        <f t="shared" si="252"/>
        <v>-12.1468703377269</v>
      </c>
      <c r="BE246" s="31">
        <f t="shared" si="253"/>
        <v>163.522596305828</v>
      </c>
      <c r="BF246" s="30" t="str">
        <f t="shared" si="254"/>
        <v>0,17305224322762+0,951143645015175i</v>
      </c>
      <c r="BG246" s="68">
        <f t="shared" si="255"/>
        <v>-0.293643199031528</v>
      </c>
      <c r="BH246" s="31">
        <f t="shared" si="256"/>
        <v>79.6883292268211</v>
      </c>
      <c r="BI246" s="30" t="str">
        <f t="shared" si="263"/>
        <v>0,207305686346549+4,97659086831292i</v>
      </c>
      <c r="BJ246" s="68">
        <f t="shared" si="257"/>
        <v>13.9461682699256</v>
      </c>
      <c r="BK246" s="31">
        <f t="shared" si="264"/>
        <v>87.6146566742301</v>
      </c>
      <c r="BL246" s="32">
        <f t="shared" si="258"/>
        <v>-0.293643199031528</v>
      </c>
      <c r="BM246" s="31">
        <f t="shared" si="259"/>
        <v>79.6883292268211</v>
      </c>
      <c r="BO246">
        <f t="shared" si="260"/>
        <v>0</v>
      </c>
      <c r="BP246">
        <f t="shared" si="261"/>
        <v>0</v>
      </c>
    </row>
    <row r="247" spans="14:68">
      <c r="N247" s="7">
        <v>29</v>
      </c>
      <c r="O247" s="18">
        <f t="shared" si="262"/>
        <v>1949.84459975805</v>
      </c>
      <c r="P247" s="86" t="str">
        <f t="shared" si="212"/>
        <v>75</v>
      </c>
      <c r="Q247" s="4" t="str">
        <f t="shared" si="213"/>
        <v>1+20,0103504027892i</v>
      </c>
      <c r="R247" s="4">
        <f t="shared" si="224"/>
        <v>20.035321890162</v>
      </c>
      <c r="S247" s="4">
        <f t="shared" si="225"/>
        <v>1.52086372923345</v>
      </c>
      <c r="T247" s="4" t="str">
        <f t="shared" si="214"/>
        <v>1+0,192099363866777i</v>
      </c>
      <c r="U247" s="4">
        <f t="shared" si="226"/>
        <v>1.01828393171945</v>
      </c>
      <c r="V247" s="4">
        <f t="shared" si="227"/>
        <v>0.189787381406228</v>
      </c>
      <c r="W247" t="str">
        <f t="shared" si="215"/>
        <v>1-0,100766407385474i</v>
      </c>
      <c r="X247" s="4">
        <f t="shared" si="228"/>
        <v>1.00506411181445</v>
      </c>
      <c r="Y247" s="4">
        <f t="shared" si="229"/>
        <v>-0.100427413962802</v>
      </c>
      <c r="Z247" t="str">
        <f t="shared" si="216"/>
        <v>0,999968964130913+0,03162068740659i</v>
      </c>
      <c r="AA247" s="4">
        <f t="shared" si="230"/>
        <v>1.00046878866715</v>
      </c>
      <c r="AB247" s="4">
        <f t="shared" si="231"/>
        <v>0.0316111353137147</v>
      </c>
      <c r="AC247" s="67" t="str">
        <f t="shared" si="232"/>
        <v>0,411552500163797-3,80716136578107i</v>
      </c>
      <c r="AD247" s="68">
        <f t="shared" si="233"/>
        <v>11.6624810204213</v>
      </c>
      <c r="AE247" s="31">
        <f t="shared" si="234"/>
        <v>-83.8303085467621</v>
      </c>
      <c r="AF247" s="32" t="str">
        <f t="shared" si="235"/>
        <v>249,914648392112</v>
      </c>
      <c r="AG247" s="32" t="str">
        <f t="shared" si="217"/>
        <v>1+12,8637966875074i</v>
      </c>
      <c r="AH247" s="32">
        <f t="shared" si="236"/>
        <v>12.9026069155627</v>
      </c>
      <c r="AI247" s="32">
        <f t="shared" si="237"/>
        <v>1.49321480702025</v>
      </c>
      <c r="AJ247" s="32" t="str">
        <f t="shared" si="218"/>
        <v>1+0,192099363866777i</v>
      </c>
      <c r="AK247" s="32">
        <f t="shared" si="238"/>
        <v>1.01828393171945</v>
      </c>
      <c r="AL247" s="32">
        <f t="shared" si="239"/>
        <v>0.189787381406228</v>
      </c>
      <c r="AM247" s="32" t="str">
        <f t="shared" si="219"/>
        <v>1-0,0194399619786404i</v>
      </c>
      <c r="AN247" s="32">
        <f t="shared" si="240"/>
        <v>1.00018893821204</v>
      </c>
      <c r="AO247" s="32">
        <f t="shared" si="241"/>
        <v>-0.0194375136680049</v>
      </c>
      <c r="AP247" s="30" t="str">
        <f t="shared" si="242"/>
        <v>4,84103471756209-19,1239726494175i</v>
      </c>
      <c r="AQ247" s="32">
        <f t="shared" si="243"/>
        <v>25.901303675628</v>
      </c>
      <c r="AR247" s="31">
        <f t="shared" si="244"/>
        <v>-75.7945778866901</v>
      </c>
      <c r="AS247" t="str">
        <f t="shared" si="220"/>
        <v>-0,000100699300699301</v>
      </c>
      <c r="AT247" t="str">
        <f t="shared" si="221"/>
        <v>0,00275285249112658i</v>
      </c>
      <c r="AU247">
        <f t="shared" si="245"/>
        <v>0.00275285249112658</v>
      </c>
      <c r="AV247">
        <f t="shared" si="246"/>
        <v>1.5707963267949</v>
      </c>
      <c r="AW247" t="str">
        <f t="shared" si="222"/>
        <v>1+0,14094099831397i</v>
      </c>
      <c r="AX247">
        <f t="shared" si="247"/>
        <v>1.0098833422756</v>
      </c>
      <c r="AY247">
        <f t="shared" si="248"/>
        <v>0.140018731280777</v>
      </c>
      <c r="AZ247" t="str">
        <f t="shared" si="223"/>
        <v>1+6,73817921726575i</v>
      </c>
      <c r="BA247">
        <f t="shared" si="249"/>
        <v>6.81197909303839</v>
      </c>
      <c r="BB247">
        <f t="shared" si="250"/>
        <v>1.42346366647136</v>
      </c>
      <c r="BC247" s="30" t="str">
        <f t="shared" si="251"/>
        <v>-0,23662643608182+0,0699303503538988i</v>
      </c>
      <c r="BD247" s="32">
        <f t="shared" si="252"/>
        <v>-12.1550877693834</v>
      </c>
      <c r="BE247" s="31">
        <f t="shared" si="253"/>
        <v>163.535978023862</v>
      </c>
      <c r="BF247" s="30" t="str">
        <f t="shared" si="254"/>
        <v>0,168851926788576+0,929655036098646i</v>
      </c>
      <c r="BG247" s="68">
        <f t="shared" si="255"/>
        <v>-0.492606748962105</v>
      </c>
      <c r="BH247" s="31">
        <f t="shared" si="256"/>
        <v>79.7056694770997</v>
      </c>
      <c r="BI247" s="30" t="str">
        <f t="shared" si="263"/>
        <v>0,191829315367066+4,86377274563237i</v>
      </c>
      <c r="BJ247" s="68">
        <f t="shared" si="257"/>
        <v>13.7462159062446</v>
      </c>
      <c r="BK247" s="31">
        <f t="shared" si="264"/>
        <v>87.7414001371717</v>
      </c>
      <c r="BL247" s="32">
        <f t="shared" si="258"/>
        <v>-0.492606748962105</v>
      </c>
      <c r="BM247" s="31">
        <f t="shared" si="259"/>
        <v>79.7056694770997</v>
      </c>
      <c r="BO247">
        <f t="shared" si="260"/>
        <v>0</v>
      </c>
      <c r="BP247">
        <f t="shared" si="261"/>
        <v>0</v>
      </c>
    </row>
    <row r="248" spans="14:68">
      <c r="N248" s="7">
        <v>30</v>
      </c>
      <c r="O248" s="18">
        <f t="shared" si="262"/>
        <v>1995.26231496888</v>
      </c>
      <c r="P248" s="86" t="str">
        <f t="shared" si="212"/>
        <v>75</v>
      </c>
      <c r="Q248" s="4" t="str">
        <f t="shared" si="213"/>
        <v>1+20,4764513402566i</v>
      </c>
      <c r="R248" s="4">
        <f t="shared" si="224"/>
        <v>20.500855091676</v>
      </c>
      <c r="S248" s="4">
        <f t="shared" si="225"/>
        <v>1.52199850948576</v>
      </c>
      <c r="T248" s="4" t="str">
        <f t="shared" si="214"/>
        <v>1+0,196573932866464i</v>
      </c>
      <c r="U248" s="4">
        <f t="shared" si="226"/>
        <v>1.01913753295745</v>
      </c>
      <c r="V248" s="4">
        <f t="shared" si="227"/>
        <v>0.194099104562352</v>
      </c>
      <c r="W248" t="str">
        <f t="shared" si="215"/>
        <v>1-0,103113558534864i</v>
      </c>
      <c r="X248" s="4">
        <f t="shared" si="228"/>
        <v>1.00530214659759</v>
      </c>
      <c r="Y248" s="4">
        <f t="shared" si="229"/>
        <v>-0.102750423927267</v>
      </c>
      <c r="Z248" t="str">
        <f t="shared" si="216"/>
        <v>0,999967501455465+0,0323572278342639i</v>
      </c>
      <c r="AA248" s="4">
        <f t="shared" si="230"/>
        <v>1.00049087660018</v>
      </c>
      <c r="AB248" s="4">
        <f t="shared" si="231"/>
        <v>0.0323469928532366</v>
      </c>
      <c r="AC248" s="67" t="str">
        <f t="shared" si="232"/>
        <v>0,403070361706967-3,7245794964858i</v>
      </c>
      <c r="AD248" s="68">
        <f t="shared" si="233"/>
        <v>11.4721112173216</v>
      </c>
      <c r="AE248" s="31">
        <f t="shared" si="234"/>
        <v>-83.8235433246874</v>
      </c>
      <c r="AF248" s="32" t="str">
        <f t="shared" si="235"/>
        <v>249,914648392112</v>
      </c>
      <c r="AG248" s="32" t="str">
        <f t="shared" si="217"/>
        <v>1+13,1634330044507i</v>
      </c>
      <c r="AH248" s="32">
        <f t="shared" si="236"/>
        <v>13.2013623714624</v>
      </c>
      <c r="AI248" s="32">
        <f t="shared" si="237"/>
        <v>1.49497393912742</v>
      </c>
      <c r="AJ248" s="32" t="str">
        <f t="shared" si="218"/>
        <v>1+0,196573932866464i</v>
      </c>
      <c r="AK248" s="32">
        <f t="shared" si="238"/>
        <v>1.01913753295745</v>
      </c>
      <c r="AL248" s="32">
        <f t="shared" si="239"/>
        <v>0.194099104562352</v>
      </c>
      <c r="AM248" s="32" t="str">
        <f t="shared" si="219"/>
        <v>1-0,0198927768629471i</v>
      </c>
      <c r="AN248" s="32">
        <f t="shared" si="240"/>
        <v>1.00019784171499</v>
      </c>
      <c r="AO248" s="32">
        <f t="shared" si="241"/>
        <v>-0.0198901534788614</v>
      </c>
      <c r="AP248" s="30" t="str">
        <f t="shared" si="242"/>
        <v>4,77476072878467-18,6970339855084i</v>
      </c>
      <c r="AQ248" s="32">
        <f t="shared" si="243"/>
        <v>25.70983338469</v>
      </c>
      <c r="AR248" s="31">
        <f t="shared" si="244"/>
        <v>-75.674259543564</v>
      </c>
      <c r="AS248" t="str">
        <f t="shared" si="220"/>
        <v>-0,000100699300699301</v>
      </c>
      <c r="AT248" t="str">
        <f t="shared" si="221"/>
        <v>0,00281697466295244i</v>
      </c>
      <c r="AU248">
        <f t="shared" si="245"/>
        <v>0.00281697466295244</v>
      </c>
      <c r="AV248">
        <f t="shared" si="246"/>
        <v>1.5707963267949</v>
      </c>
      <c r="AW248" t="str">
        <f t="shared" si="222"/>
        <v>1+0,144223935899739i</v>
      </c>
      <c r="AX248">
        <f t="shared" si="247"/>
        <v>1.01034674428456</v>
      </c>
      <c r="AY248">
        <f t="shared" si="248"/>
        <v>0.143236254727837</v>
      </c>
      <c r="AZ248" t="str">
        <f t="shared" si="223"/>
        <v>1+6,89513157375987i</v>
      </c>
      <c r="BA248">
        <f t="shared" si="249"/>
        <v>6.96726915078356</v>
      </c>
      <c r="BB248">
        <f t="shared" si="250"/>
        <v>1.42677065537631</v>
      </c>
      <c r="BC248" s="30" t="str">
        <f t="shared" si="251"/>
        <v>-0,2364094253973+0,0698432199412901i</v>
      </c>
      <c r="BD248" s="32">
        <f t="shared" si="252"/>
        <v>-12.1632868902567</v>
      </c>
      <c r="BE248" s="31">
        <f t="shared" si="253"/>
        <v>163.541104017011</v>
      </c>
      <c r="BF248" s="30" t="str">
        <f t="shared" si="254"/>
        <v>0,164846992356051+0,908677430535288i</v>
      </c>
      <c r="BG248" s="68">
        <f t="shared" si="255"/>
        <v>-0.69117567293512</v>
      </c>
      <c r="BH248" s="31">
        <f t="shared" si="256"/>
        <v>79.7175606923236</v>
      </c>
      <c r="BI248" s="30" t="str">
        <f t="shared" si="263"/>
        <v>0,177062616598062+4,75363972489537i</v>
      </c>
      <c r="BJ248" s="68">
        <f t="shared" si="257"/>
        <v>13.5465464944332</v>
      </c>
      <c r="BK248" s="31">
        <f t="shared" si="264"/>
        <v>87.8668444734469</v>
      </c>
      <c r="BL248" s="32">
        <f t="shared" si="258"/>
        <v>-0.69117567293512</v>
      </c>
      <c r="BM248" s="31">
        <f t="shared" si="259"/>
        <v>79.7175606923236</v>
      </c>
      <c r="BO248">
        <f t="shared" si="260"/>
        <v>0</v>
      </c>
      <c r="BP248">
        <f t="shared" si="261"/>
        <v>0</v>
      </c>
    </row>
    <row r="249" spans="14:68">
      <c r="N249" s="7">
        <v>31</v>
      </c>
      <c r="O249" s="18">
        <f t="shared" si="262"/>
        <v>2041.73794466953</v>
      </c>
      <c r="P249" s="86" t="str">
        <f t="shared" si="212"/>
        <v>75</v>
      </c>
      <c r="Q249" s="4" t="str">
        <f t="shared" si="213"/>
        <v>1+20,9534091632624i</v>
      </c>
      <c r="R249" s="4">
        <f t="shared" si="224"/>
        <v>20.9772580563592</v>
      </c>
      <c r="S249" s="4">
        <f t="shared" si="225"/>
        <v>1.52310758053498</v>
      </c>
      <c r="T249" s="4" t="str">
        <f t="shared" si="214"/>
        <v>1+0,201152727967319i</v>
      </c>
      <c r="U249" s="4">
        <f t="shared" si="226"/>
        <v>1.02003059756494</v>
      </c>
      <c r="V249" s="4">
        <f t="shared" si="227"/>
        <v>0.19850370602032</v>
      </c>
      <c r="W249" t="str">
        <f t="shared" si="215"/>
        <v>1-0,105515381857857i</v>
      </c>
      <c r="X249" s="4">
        <f t="shared" si="228"/>
        <v>1.00555133922073</v>
      </c>
      <c r="Y249" s="4">
        <f t="shared" si="229"/>
        <v>-0.105126392039576</v>
      </c>
      <c r="Z249" t="str">
        <f t="shared" si="216"/>
        <v>0,999965969846247+0,0331109244924339i</v>
      </c>
      <c r="AA249" s="4">
        <f t="shared" si="230"/>
        <v>1.00051400498508</v>
      </c>
      <c r="AB249" s="4">
        <f t="shared" si="231"/>
        <v>0.0330999578166029</v>
      </c>
      <c r="AC249" s="67" t="str">
        <f t="shared" si="232"/>
        <v>0,394957327443605-3,64393540572428i</v>
      </c>
      <c r="AD249" s="68">
        <f t="shared" si="233"/>
        <v>11.2821363703929</v>
      </c>
      <c r="AE249" s="31">
        <f t="shared" si="234"/>
        <v>-83.813998000624</v>
      </c>
      <c r="AF249" s="32" t="str">
        <f t="shared" si="235"/>
        <v>249,914648392112</v>
      </c>
      <c r="AG249" s="32" t="str">
        <f t="shared" si="217"/>
        <v>1+13,4700487478115i</v>
      </c>
      <c r="AH249" s="32">
        <f t="shared" si="236"/>
        <v>13.5071171338824</v>
      </c>
      <c r="AI249" s="32">
        <f t="shared" si="237"/>
        <v>1.49669348293979</v>
      </c>
      <c r="AJ249" s="32" t="str">
        <f t="shared" si="218"/>
        <v>1+0,201152727967319i</v>
      </c>
      <c r="AK249" s="32">
        <f t="shared" si="238"/>
        <v>1.02003059756494</v>
      </c>
      <c r="AL249" s="32">
        <f t="shared" si="239"/>
        <v>0.19850370602032</v>
      </c>
      <c r="AM249" s="32" t="str">
        <f t="shared" si="219"/>
        <v>1-0,0203561391608584i</v>
      </c>
      <c r="AN249" s="32">
        <f t="shared" si="240"/>
        <v>1.00020716474215</v>
      </c>
      <c r="AO249" s="32">
        <f t="shared" si="241"/>
        <v>-0.0203533281856096</v>
      </c>
      <c r="AP249" s="30" t="str">
        <f t="shared" si="242"/>
        <v>4,71143609153128-18,2795579030649i</v>
      </c>
      <c r="AQ249" s="32">
        <f t="shared" si="243"/>
        <v>25.5186441377959</v>
      </c>
      <c r="AR249" s="31">
        <f t="shared" si="244"/>
        <v>-75.5469550285956</v>
      </c>
      <c r="AS249" t="str">
        <f t="shared" si="220"/>
        <v>-0,000100699300699301</v>
      </c>
      <c r="AT249" t="str">
        <f t="shared" si="221"/>
        <v>0,00288259043203168i</v>
      </c>
      <c r="AU249">
        <f t="shared" si="245"/>
        <v>0.00288259043203168</v>
      </c>
      <c r="AV249">
        <f t="shared" si="246"/>
        <v>1.5707963267949</v>
      </c>
      <c r="AW249" t="str">
        <f t="shared" si="222"/>
        <v>1+0,147583342925352i</v>
      </c>
      <c r="AX249">
        <f t="shared" si="247"/>
        <v>1.01083175806314</v>
      </c>
      <c r="AY249">
        <f t="shared" si="248"/>
        <v>0.14652563501141</v>
      </c>
      <c r="AZ249" t="str">
        <f t="shared" si="223"/>
        <v>1+7,05573982028222i</v>
      </c>
      <c r="BA249">
        <f t="shared" si="249"/>
        <v>7.12625177856608</v>
      </c>
      <c r="BB249">
        <f t="shared" si="250"/>
        <v>1.43000543610877</v>
      </c>
      <c r="BC249" s="30" t="str">
        <f t="shared" si="251"/>
        <v>-0,236182613527826+0,0697902333769873i</v>
      </c>
      <c r="BD249" s="32">
        <f t="shared" si="252"/>
        <v>-12.1714840352626</v>
      </c>
      <c r="BE249" s="31">
        <f t="shared" si="253"/>
        <v>163.537975693169</v>
      </c>
      <c r="BF249" s="30" t="str">
        <f t="shared" si="254"/>
        <v>0,161029048548568+0,88819835170678i</v>
      </c>
      <c r="BG249" s="68">
        <f t="shared" si="255"/>
        <v>-0.889347664869727</v>
      </c>
      <c r="BH249" s="31">
        <f t="shared" si="256"/>
        <v>79.7239776925451</v>
      </c>
      <c r="BI249" s="30" t="str">
        <f t="shared" si="263"/>
        <v>0,162975322515869+4,64612598404782i</v>
      </c>
      <c r="BJ249" s="68">
        <f t="shared" si="257"/>
        <v>13.3471601025332</v>
      </c>
      <c r="BK249" s="31">
        <f t="shared" si="264"/>
        <v>87.9910206645735</v>
      </c>
      <c r="BL249" s="32">
        <f t="shared" si="258"/>
        <v>-0.889347664869727</v>
      </c>
      <c r="BM249" s="31">
        <f t="shared" si="259"/>
        <v>79.7239776925451</v>
      </c>
      <c r="BO249">
        <f t="shared" si="260"/>
        <v>0</v>
      </c>
      <c r="BP249">
        <f t="shared" si="261"/>
        <v>0</v>
      </c>
    </row>
    <row r="250" spans="14:68">
      <c r="N250" s="7">
        <v>32</v>
      </c>
      <c r="O250" s="18">
        <f t="shared" si="262"/>
        <v>2089.29613085404</v>
      </c>
      <c r="P250" s="86" t="str">
        <f t="shared" si="212"/>
        <v>75</v>
      </c>
      <c r="Q250" s="4" t="str">
        <f t="shared" si="213"/>
        <v>1+21,4414767611578i</v>
      </c>
      <c r="R250" s="4">
        <f t="shared" si="224"/>
        <v>21.4647833834695</v>
      </c>
      <c r="S250" s="4">
        <f t="shared" si="225"/>
        <v>1.52419151950545</v>
      </c>
      <c r="T250" s="4" t="str">
        <f t="shared" si="214"/>
        <v>1+0,205838176907116i</v>
      </c>
      <c r="U250" s="4">
        <f t="shared" si="226"/>
        <v>1.02096491373232</v>
      </c>
      <c r="V250" s="4">
        <f t="shared" si="227"/>
        <v>0.203002837219504</v>
      </c>
      <c r="W250" t="str">
        <f t="shared" si="215"/>
        <v>1-0,107973150832974i</v>
      </c>
      <c r="X250" s="4">
        <f t="shared" si="228"/>
        <v>1.00581220975926</v>
      </c>
      <c r="Y250" s="4">
        <f t="shared" si="229"/>
        <v>-0.107556470707872</v>
      </c>
      <c r="Z250" t="str">
        <f t="shared" si="216"/>
        <v>0,999964366054511+0,033882177001045i</v>
      </c>
      <c r="AA250" s="4">
        <f t="shared" si="230"/>
        <v>1.00053822280667</v>
      </c>
      <c r="AB250" s="4">
        <f t="shared" si="231"/>
        <v>0.0338704263371682</v>
      </c>
      <c r="AC250" s="67" t="str">
        <f t="shared" si="232"/>
        <v>0,387196426225566-3,56518874805674i</v>
      </c>
      <c r="AD250" s="68">
        <f t="shared" si="233"/>
        <v>11.0925757958707</v>
      </c>
      <c r="AE250" s="31">
        <f t="shared" si="234"/>
        <v>-83.8016997457475</v>
      </c>
      <c r="AF250" s="32" t="str">
        <f t="shared" si="235"/>
        <v>249,914648392112</v>
      </c>
      <c r="AG250" s="32" t="str">
        <f t="shared" si="217"/>
        <v>1+13,7838064893158i</v>
      </c>
      <c r="AH250" s="32">
        <f t="shared" si="236"/>
        <v>13.82003333335</v>
      </c>
      <c r="AI250" s="32">
        <f t="shared" si="237"/>
        <v>1.49837430948428</v>
      </c>
      <c r="AJ250" s="32" t="str">
        <f t="shared" si="218"/>
        <v>1+0,205838176907116i</v>
      </c>
      <c r="AK250" s="32">
        <f t="shared" si="238"/>
        <v>1.02096491373232</v>
      </c>
      <c r="AL250" s="32">
        <f t="shared" si="239"/>
        <v>0.203002837219504</v>
      </c>
      <c r="AM250" s="32" t="str">
        <f t="shared" si="219"/>
        <v>1-0,0208302945531984i</v>
      </c>
      <c r="AN250" s="32">
        <f t="shared" si="240"/>
        <v>1.00021692705691</v>
      </c>
      <c r="AO250" s="32">
        <f t="shared" si="241"/>
        <v>-0.0208272825742327</v>
      </c>
      <c r="AP250" s="30" t="str">
        <f t="shared" si="242"/>
        <v>4,65093098437684-17,8713528155649i</v>
      </c>
      <c r="AQ250" s="32">
        <f t="shared" si="243"/>
        <v>25.3277527872667</v>
      </c>
      <c r="AR250" s="31">
        <f t="shared" si="244"/>
        <v>-75.4126336526491</v>
      </c>
      <c r="AS250" t="str">
        <f t="shared" si="220"/>
        <v>-0,000100699300699301</v>
      </c>
      <c r="AT250" t="str">
        <f t="shared" si="221"/>
        <v>0,00294973458871357i</v>
      </c>
      <c r="AU250">
        <f t="shared" si="245"/>
        <v>0.00294973458871357</v>
      </c>
      <c r="AV250">
        <f t="shared" si="246"/>
        <v>1.5707963267949</v>
      </c>
      <c r="AW250" t="str">
        <f t="shared" si="222"/>
        <v>1+0,151021000592881i</v>
      </c>
      <c r="AX250">
        <f t="shared" si="247"/>
        <v>1.01133938053458</v>
      </c>
      <c r="AY250">
        <f t="shared" si="248"/>
        <v>0.149888331326946</v>
      </c>
      <c r="AZ250" t="str">
        <f t="shared" si="223"/>
        <v>1+7,22008911345111i</v>
      </c>
      <c r="BA250">
        <f t="shared" si="249"/>
        <v>7.28901137371696</v>
      </c>
      <c r="BB250">
        <f t="shared" si="250"/>
        <v>1.43316945286597</v>
      </c>
      <c r="BC250" s="30" t="str">
        <f t="shared" si="251"/>
        <v>-0,235945578333414+0,0697711649264926i</v>
      </c>
      <c r="BD250" s="32">
        <f t="shared" si="252"/>
        <v>-12.1796955361362</v>
      </c>
      <c r="BE250" s="31">
        <f t="shared" si="253"/>
        <v>163.526592193001</v>
      </c>
      <c r="BF250" s="30" t="str">
        <f t="shared" si="254"/>
        <v>0,15739008742032+0,86820566674116i</v>
      </c>
      <c r="BG250" s="68">
        <f t="shared" si="255"/>
        <v>-1.08711974026547</v>
      </c>
      <c r="BH250" s="31">
        <f t="shared" si="256"/>
        <v>79.7248924472532</v>
      </c>
      <c r="BI250" s="30" t="str">
        <f t="shared" si="263"/>
        <v>0,149538503856729+4,54116754844164i</v>
      </c>
      <c r="BJ250" s="68">
        <f t="shared" si="257"/>
        <v>13.1480572511305</v>
      </c>
      <c r="BK250" s="31">
        <f t="shared" si="264"/>
        <v>88.1139585403515</v>
      </c>
      <c r="BL250" s="32">
        <f t="shared" si="258"/>
        <v>-1.08711974026547</v>
      </c>
      <c r="BM250" s="31">
        <f t="shared" si="259"/>
        <v>79.7248924472532</v>
      </c>
      <c r="BO250">
        <f t="shared" si="260"/>
        <v>0</v>
      </c>
      <c r="BP250">
        <f t="shared" si="261"/>
        <v>0</v>
      </c>
    </row>
    <row r="251" spans="14:68">
      <c r="N251" s="7">
        <v>33</v>
      </c>
      <c r="O251" s="18">
        <f t="shared" si="262"/>
        <v>2137.96208950223</v>
      </c>
      <c r="P251" s="86" t="str">
        <f t="shared" si="212"/>
        <v>75</v>
      </c>
      <c r="Q251" s="4" t="str">
        <f t="shared" si="213"/>
        <v>1+21,9409129138434i</v>
      </c>
      <c r="R251" s="4">
        <f t="shared" si="224"/>
        <v>21.9636895692154</v>
      </c>
      <c r="S251" s="4">
        <f t="shared" si="225"/>
        <v>1.52525089092182</v>
      </c>
      <c r="T251" s="4" t="str">
        <f t="shared" si="214"/>
        <v>1+0,210632763972897i</v>
      </c>
      <c r="U251" s="4">
        <f t="shared" si="226"/>
        <v>1.02194234732634</v>
      </c>
      <c r="V251" s="4">
        <f t="shared" si="227"/>
        <v>0.207598154736201</v>
      </c>
      <c r="W251" t="str">
        <f t="shared" si="215"/>
        <v>1-0,110488168601854i</v>
      </c>
      <c r="X251" s="4">
        <f t="shared" si="228"/>
        <v>1.00608530224877</v>
      </c>
      <c r="Y251" s="4">
        <f t="shared" si="229"/>
        <v>-0.110041833527062</v>
      </c>
      <c r="Z251" t="str">
        <f t="shared" si="216"/>
        <v>0,999962686678399+0,0346713942883854i</v>
      </c>
      <c r="AA251" s="4">
        <f t="shared" si="230"/>
        <v>1.00056358135352</v>
      </c>
      <c r="AB251" s="4">
        <f t="shared" si="231"/>
        <v>0.0346588036077624</v>
      </c>
      <c r="AC251" s="67" t="str">
        <f t="shared" si="232"/>
        <v>0,379771413294618-3,48830002076975i</v>
      </c>
      <c r="AD251" s="68">
        <f t="shared" si="233"/>
        <v>10.9034495115829</v>
      </c>
      <c r="AE251" s="31">
        <f t="shared" si="234"/>
        <v>-83.7866764479804</v>
      </c>
      <c r="AF251" s="32" t="str">
        <f t="shared" si="235"/>
        <v>249,914648392112</v>
      </c>
      <c r="AG251" s="32" t="str">
        <f t="shared" si="217"/>
        <v>1+14,1048725874708i</v>
      </c>
      <c r="AH251" s="32">
        <f t="shared" si="236"/>
        <v>14.1402768964679</v>
      </c>
      <c r="AI251" s="32">
        <f t="shared" si="237"/>
        <v>1.500017271947</v>
      </c>
      <c r="AJ251" s="32" t="str">
        <f t="shared" si="218"/>
        <v>1+0,210632763972897i</v>
      </c>
      <c r="AK251" s="32">
        <f t="shared" si="238"/>
        <v>1.02194234732634</v>
      </c>
      <c r="AL251" s="32">
        <f t="shared" si="239"/>
        <v>0.207598154736201</v>
      </c>
      <c r="AM251" s="32" t="str">
        <f t="shared" si="219"/>
        <v>1-0,0213154944434318i</v>
      </c>
      <c r="AN251" s="32">
        <f t="shared" si="240"/>
        <v>1.00022714935327</v>
      </c>
      <c r="AO251" s="32">
        <f t="shared" si="241"/>
        <v>-0.0213122670894068</v>
      </c>
      <c r="AP251" s="30" t="str">
        <f t="shared" si="242"/>
        <v>4,59312117481831-17,4722301006155i</v>
      </c>
      <c r="AQ251" s="32">
        <f t="shared" si="243"/>
        <v>25.1371766568269</v>
      </c>
      <c r="AR251" s="31">
        <f t="shared" si="244"/>
        <v>-75.271263734281</v>
      </c>
      <c r="AS251" t="str">
        <f t="shared" si="220"/>
        <v>-0,000100699300699301</v>
      </c>
      <c r="AT251" t="str">
        <f t="shared" si="221"/>
        <v>0,00301844273371874i</v>
      </c>
      <c r="AU251">
        <f t="shared" si="245"/>
        <v>0.00301844273371874</v>
      </c>
      <c r="AV251">
        <f t="shared" si="246"/>
        <v>1.5707963267949</v>
      </c>
      <c r="AW251" t="str">
        <f t="shared" si="222"/>
        <v>1+0,154538731593922i</v>
      </c>
      <c r="AX251">
        <f t="shared" si="247"/>
        <v>1.0118706535732</v>
      </c>
      <c r="AY251">
        <f t="shared" si="248"/>
        <v>0.153325822267393</v>
      </c>
      <c r="AZ251" t="str">
        <f t="shared" si="223"/>
        <v>1+7,38826659343706i</v>
      </c>
      <c r="BA251">
        <f t="shared" si="249"/>
        <v>7.45563432953213</v>
      </c>
      <c r="BB251">
        <f t="shared" si="250"/>
        <v>1.43626412971875</v>
      </c>
      <c r="BC251" s="30" t="str">
        <f t="shared" si="251"/>
        <v>-0,235697881423546+0,0697857937512837i</v>
      </c>
      <c r="BD251" s="32">
        <f t="shared" si="252"/>
        <v>-12.187937747717</v>
      </c>
      <c r="BE251" s="31">
        <f t="shared" si="253"/>
        <v>163.50695039262</v>
      </c>
      <c r="BF251" s="30" t="str">
        <f t="shared" si="254"/>
        <v>0,153922468253269+0,848687574185953i</v>
      </c>
      <c r="BG251" s="68">
        <f t="shared" si="255"/>
        <v>-1.28448823613417</v>
      </c>
      <c r="BH251" s="31">
        <f t="shared" si="256"/>
        <v>79.7202739446397</v>
      </c>
      <c r="BI251" s="30" t="str">
        <f t="shared" si="263"/>
        <v>0,13672451615022+4,43870222544031i</v>
      </c>
      <c r="BJ251" s="68">
        <f t="shared" si="257"/>
        <v>12.9492389091098</v>
      </c>
      <c r="BK251" s="31">
        <f t="shared" si="264"/>
        <v>88.2356866583391</v>
      </c>
      <c r="BL251" s="32">
        <f t="shared" si="258"/>
        <v>-1.28448823613417</v>
      </c>
      <c r="BM251" s="31">
        <f t="shared" si="259"/>
        <v>79.7202739446397</v>
      </c>
      <c r="BO251">
        <f t="shared" si="260"/>
        <v>0</v>
      </c>
      <c r="BP251">
        <f t="shared" si="261"/>
        <v>0</v>
      </c>
    </row>
    <row r="252" spans="14:68">
      <c r="N252" s="7">
        <v>34</v>
      </c>
      <c r="O252" s="18">
        <f t="shared" si="262"/>
        <v>2187.76162394955</v>
      </c>
      <c r="P252" s="86" t="str">
        <f t="shared" si="212"/>
        <v>75</v>
      </c>
      <c r="Q252" s="4" t="str">
        <f t="shared" si="213"/>
        <v>1+22,4519824289783i</v>
      </c>
      <c r="R252" s="4">
        <f t="shared" si="224"/>
        <v>22.4742411438329</v>
      </c>
      <c r="S252" s="4">
        <f t="shared" si="225"/>
        <v>1.52628624696023</v>
      </c>
      <c r="T252" s="4" t="str">
        <f t="shared" si="214"/>
        <v>1+0,215539031318192i</v>
      </c>
      <c r="U252" s="4">
        <f t="shared" si="226"/>
        <v>1.0229648449588</v>
      </c>
      <c r="V252" s="4">
        <f t="shared" si="227"/>
        <v>0.212291318392161</v>
      </c>
      <c r="W252" t="str">
        <f t="shared" si="215"/>
        <v>1-0,113061768660212i</v>
      </c>
      <c r="X252" s="4">
        <f t="shared" si="228"/>
        <v>1.00637118576228</v>
      </c>
      <c r="Y252" s="4">
        <f t="shared" si="229"/>
        <v>-0.112583675385397</v>
      </c>
      <c r="Z252" t="str">
        <f t="shared" si="216"/>
        <v>0,999960928155729+0,0354789948079078i</v>
      </c>
      <c r="AA252" s="4">
        <f t="shared" si="230"/>
        <v>1.00059013432606</v>
      </c>
      <c r="AB252" s="4">
        <f t="shared" si="231"/>
        <v>0.0354655040797735</v>
      </c>
      <c r="AC252" s="67" t="str">
        <f t="shared" si="232"/>
        <v>0,372666737648162-3,41323055345769i</v>
      </c>
      <c r="AD252" s="68">
        <f t="shared" si="233"/>
        <v>10.7147782635549</v>
      </c>
      <c r="AE252" s="31">
        <f t="shared" si="234"/>
        <v>-83.7689568522738</v>
      </c>
      <c r="AF252" s="32" t="str">
        <f t="shared" si="235"/>
        <v>249,914648392112</v>
      </c>
      <c r="AG252" s="32" t="str">
        <f t="shared" si="217"/>
        <v>1+14,4334172757718i</v>
      </c>
      <c r="AH252" s="32">
        <f t="shared" si="236"/>
        <v>14.468017633959</v>
      </c>
      <c r="AI252" s="32">
        <f t="shared" si="237"/>
        <v>1.50162320594938</v>
      </c>
      <c r="AJ252" s="32" t="str">
        <f t="shared" si="218"/>
        <v>1+0,215539031318192i</v>
      </c>
      <c r="AK252" s="32">
        <f t="shared" si="238"/>
        <v>1.0229648449588</v>
      </c>
      <c r="AL252" s="32">
        <f t="shared" si="239"/>
        <v>0.212291318392161</v>
      </c>
      <c r="AM252" s="32" t="str">
        <f t="shared" si="219"/>
        <v>1-0,0218119960909631i</v>
      </c>
      <c r="AN252" s="32">
        <f t="shared" si="240"/>
        <v>1.00023785329964</v>
      </c>
      <c r="AO252" s="32">
        <f t="shared" si="241"/>
        <v>-0.0218085379632327</v>
      </c>
      <c r="AP252" s="30" t="str">
        <f t="shared" si="242"/>
        <v>4,53788778969301-17,0820041264098i</v>
      </c>
      <c r="AQ252" s="32">
        <f t="shared" si="243"/>
        <v>24.9469335635409</v>
      </c>
      <c r="AR252" s="31">
        <f t="shared" si="244"/>
        <v>-75.1228127313086</v>
      </c>
      <c r="AS252" t="str">
        <f t="shared" si="220"/>
        <v>-0,000100699300699301</v>
      </c>
      <c r="AT252" t="str">
        <f t="shared" si="221"/>
        <v>0,00308875129701515i</v>
      </c>
      <c r="AU252">
        <f t="shared" si="245"/>
        <v>0.00308875129701515</v>
      </c>
      <c r="AV252">
        <f t="shared" si="246"/>
        <v>1.5707963267949</v>
      </c>
      <c r="AW252" t="str">
        <f t="shared" si="222"/>
        <v>1+0,158138401076017i</v>
      </c>
      <c r="AX252">
        <f t="shared" si="247"/>
        <v>1.01242666593432</v>
      </c>
      <c r="AY252">
        <f t="shared" si="248"/>
        <v>0.156839605319878</v>
      </c>
      <c r="AZ252" t="str">
        <f t="shared" si="223"/>
        <v>1+7,56036143016615i</v>
      </c>
      <c r="BA252">
        <f t="shared" si="249"/>
        <v>7.6262090814994</v>
      </c>
      <c r="BB252">
        <f t="shared" si="250"/>
        <v>1.43929087027853</v>
      </c>
      <c r="BC252" s="30" t="str">
        <f t="shared" si="251"/>
        <v>-0,235439067715488+0,0698339029768493i</v>
      </c>
      <c r="BD252" s="32">
        <f t="shared" si="252"/>
        <v>-12.1962270742303</v>
      </c>
      <c r="BE252" s="31">
        <f t="shared" si="253"/>
        <v>163.479044913344</v>
      </c>
      <c r="BF252" s="30" t="str">
        <f t="shared" si="254"/>
        <v>0,150618902027326+0,829632592203718i</v>
      </c>
      <c r="BG252" s="68">
        <f t="shared" si="255"/>
        <v>-1.48144881067548</v>
      </c>
      <c r="BH252" s="31">
        <f t="shared" si="256"/>
        <v>79.7100880610706</v>
      </c>
      <c r="BI252" s="30" t="str">
        <f t="shared" si="263"/>
        <v>0,124506948211022+4,33866954185929i</v>
      </c>
      <c r="BJ252" s="68">
        <f t="shared" si="257"/>
        <v>12.7507064893105</v>
      </c>
      <c r="BK252" s="31">
        <f t="shared" si="264"/>
        <v>88.3562321820358</v>
      </c>
      <c r="BL252" s="32">
        <f t="shared" si="258"/>
        <v>-1.48144881067548</v>
      </c>
      <c r="BM252" s="31">
        <f t="shared" si="259"/>
        <v>79.7100880610706</v>
      </c>
      <c r="BO252">
        <f t="shared" si="260"/>
        <v>0</v>
      </c>
      <c r="BP252">
        <f t="shared" si="261"/>
        <v>0</v>
      </c>
    </row>
    <row r="253" spans="14:68">
      <c r="N253" s="7">
        <v>35</v>
      </c>
      <c r="O253" s="18">
        <f t="shared" si="262"/>
        <v>2238.72113856834</v>
      </c>
      <c r="P253" s="86" t="str">
        <f t="shared" si="212"/>
        <v>75</v>
      </c>
      <c r="Q253" s="4" t="str">
        <f t="shared" si="213"/>
        <v>1+22,974956282384i</v>
      </c>
      <c r="R253" s="4">
        <f t="shared" si="224"/>
        <v>22.9967088118595</v>
      </c>
      <c r="S253" s="4">
        <f t="shared" si="225"/>
        <v>1.52729812769621</v>
      </c>
      <c r="T253" s="4" t="str">
        <f t="shared" si="214"/>
        <v>1+0,220559580310887i</v>
      </c>
      <c r="U253" s="4">
        <f t="shared" si="226"/>
        <v>1.02403443714892</v>
      </c>
      <c r="V253" s="4">
        <f t="shared" si="227"/>
        <v>0.217083989216015</v>
      </c>
      <c r="W253" t="str">
        <f t="shared" si="215"/>
        <v>1-0,115695315564862i</v>
      </c>
      <c r="X253" s="4">
        <f t="shared" si="228"/>
        <v>1.00667045553332</v>
      </c>
      <c r="Y253" s="4">
        <f t="shared" si="229"/>
        <v>-0.115183212547935</v>
      </c>
      <c r="Z253" t="str">
        <f t="shared" si="216"/>
        <v>0,999959086756439+0,0363054067600971i</v>
      </c>
      <c r="AA253" s="4">
        <f t="shared" si="230"/>
        <v>1.00061793794974</v>
      </c>
      <c r="AB253" s="4">
        <f t="shared" si="231"/>
        <v>0.0362909516660141</v>
      </c>
      <c r="AC253" s="67" t="str">
        <f t="shared" si="232"/>
        <v>0,365867510720299-3,33994249733964i</v>
      </c>
      <c r="AD253" s="68">
        <f t="shared" si="233"/>
        <v>10.5265835528252</v>
      </c>
      <c r="AE253" s="31">
        <f t="shared" si="234"/>
        <v>-83.7485707080152</v>
      </c>
      <c r="AF253" s="32" t="str">
        <f t="shared" si="235"/>
        <v>249,914648392112</v>
      </c>
      <c r="AG253" s="32" t="str">
        <f t="shared" si="217"/>
        <v>1+14,7696147529611i</v>
      </c>
      <c r="AH253" s="32">
        <f t="shared" si="236"/>
        <v>14.8034293307627</v>
      </c>
      <c r="AI253" s="32">
        <f t="shared" si="237"/>
        <v>1.50319292982633</v>
      </c>
      <c r="AJ253" s="32" t="str">
        <f t="shared" si="218"/>
        <v>1+0,220559580310887i</v>
      </c>
      <c r="AK253" s="32">
        <f t="shared" si="238"/>
        <v>1.02403443714892</v>
      </c>
      <c r="AL253" s="32">
        <f t="shared" si="239"/>
        <v>0.217083989216015</v>
      </c>
      <c r="AM253" s="32" t="str">
        <f t="shared" si="219"/>
        <v>1-0,0223200627475377i</v>
      </c>
      <c r="AN253" s="32">
        <f t="shared" si="240"/>
        <v>1.00024906158469</v>
      </c>
      <c r="AO253" s="32">
        <f t="shared" si="241"/>
        <v>-0.0223163573467444</v>
      </c>
      <c r="AP253" s="30" t="str">
        <f t="shared" si="242"/>
        <v>4,48511709404755-16,7004922717362i</v>
      </c>
      <c r="AQ253" s="32">
        <f t="shared" si="243"/>
        <v>24.757041839605</v>
      </c>
      <c r="AR253" s="31">
        <f t="shared" si="244"/>
        <v>-74.9672473810867</v>
      </c>
      <c r="AS253" t="str">
        <f t="shared" si="220"/>
        <v>-0,000100699300699301</v>
      </c>
      <c r="AT253" t="str">
        <f t="shared" si="221"/>
        <v>0,0031606975571337i</v>
      </c>
      <c r="AU253">
        <f t="shared" si="245"/>
        <v>0.0031606975571337</v>
      </c>
      <c r="AV253">
        <f t="shared" si="246"/>
        <v>1.5707963267949</v>
      </c>
      <c r="AW253" t="str">
        <f t="shared" si="222"/>
        <v>1+0,16182191763157i</v>
      </c>
      <c r="AX253">
        <f t="shared" si="247"/>
        <v>1.01300855525803</v>
      </c>
      <c r="AY253">
        <f t="shared" si="248"/>
        <v>0.160431196292541</v>
      </c>
      <c r="AZ253" t="str">
        <f t="shared" si="223"/>
        <v>1+7,73646487059869i</v>
      </c>
      <c r="BA253">
        <f t="shared" si="249"/>
        <v>7.80082615458181</v>
      </c>
      <c r="BB253">
        <f t="shared" si="250"/>
        <v>1.44225105741834</v>
      </c>
      <c r="BC253" s="30" t="str">
        <f t="shared" si="251"/>
        <v>-0,235168664999216+0,069915278718216i</v>
      </c>
      <c r="BD253" s="32">
        <f t="shared" si="252"/>
        <v>-12.2045799955593</v>
      </c>
      <c r="BE253" s="31">
        <f t="shared" si="253"/>
        <v>163.442868138554</v>
      </c>
      <c r="BF253" s="30" t="str">
        <f t="shared" si="254"/>
        <v>0,147472436541636+0,81102954725946i</v>
      </c>
      <c r="BG253" s="68">
        <f t="shared" si="255"/>
        <v>-1.67799644273415</v>
      </c>
      <c r="BH253" s="31">
        <f t="shared" si="256"/>
        <v>79.6942974305384</v>
      </c>
      <c r="BI253" s="30" t="str">
        <f t="shared" si="263"/>
        <v>0,112860572537523+4,2410106840881i</v>
      </c>
      <c r="BJ253" s="68">
        <f t="shared" si="257"/>
        <v>12.5524618440457</v>
      </c>
      <c r="BK253" s="31">
        <f t="shared" si="264"/>
        <v>88.4756207574668</v>
      </c>
      <c r="BL253" s="32">
        <f t="shared" si="258"/>
        <v>-1.67799644273415</v>
      </c>
      <c r="BM253" s="31">
        <f t="shared" si="259"/>
        <v>79.6942974305384</v>
      </c>
      <c r="BO253">
        <f t="shared" si="260"/>
        <v>0</v>
      </c>
      <c r="BP253">
        <f t="shared" si="261"/>
        <v>0</v>
      </c>
    </row>
    <row r="254" spans="14:68">
      <c r="N254" s="7">
        <v>36</v>
      </c>
      <c r="O254" s="18">
        <f t="shared" si="262"/>
        <v>2290.86765276777</v>
      </c>
      <c r="P254" s="86" t="str">
        <f t="shared" si="212"/>
        <v>75</v>
      </c>
      <c r="Q254" s="4" t="str">
        <f t="shared" si="213"/>
        <v>1+23,5101117617202i</v>
      </c>
      <c r="R254" s="4">
        <f t="shared" si="224"/>
        <v>23.5313695956817</v>
      </c>
      <c r="S254" s="4">
        <f t="shared" si="225"/>
        <v>1.52828706134905</v>
      </c>
      <c r="T254" s="4" t="str">
        <f t="shared" si="214"/>
        <v>1+0,225697072912514i</v>
      </c>
      <c r="U254" s="4">
        <f t="shared" si="226"/>
        <v>1.02515324157966</v>
      </c>
      <c r="V254" s="4">
        <f t="shared" si="227"/>
        <v>0.221977827251099</v>
      </c>
      <c r="W254" t="str">
        <f t="shared" si="215"/>
        <v>1-0,118390205657234i</v>
      </c>
      <c r="X254" s="4">
        <f t="shared" si="228"/>
        <v>1.00698373412661</v>
      </c>
      <c r="Y254" s="4">
        <f t="shared" si="229"/>
        <v>-0.117841682714783</v>
      </c>
      <c r="Z254" t="str">
        <f t="shared" si="216"/>
        <v>0,999957158574673+0,0371510683195097i</v>
      </c>
      <c r="AA254" s="4">
        <f t="shared" si="230"/>
        <v>1.00064705109345</v>
      </c>
      <c r="AB254" s="4">
        <f t="shared" si="231"/>
        <v>0.0371355799474101</v>
      </c>
      <c r="AC254" s="67" t="str">
        <f t="shared" si="232"/>
        <v>0,359359476325554-3,26839881434999i</v>
      </c>
      <c r="AD254" s="68">
        <f t="shared" si="233"/>
        <v>10.3388876624218</v>
      </c>
      <c r="AE254" s="31">
        <f t="shared" si="234"/>
        <v>-83.7255489238137</v>
      </c>
      <c r="AF254" s="32" t="str">
        <f t="shared" si="235"/>
        <v>249,914648392112</v>
      </c>
      <c r="AG254" s="32" t="str">
        <f t="shared" si="217"/>
        <v>1+15,1136432753916i</v>
      </c>
      <c r="AH254" s="32">
        <f t="shared" si="236"/>
        <v>15.1466898382382</v>
      </c>
      <c r="AI254" s="32">
        <f t="shared" si="237"/>
        <v>1.50472724490603</v>
      </c>
      <c r="AJ254" s="32" t="str">
        <f t="shared" si="218"/>
        <v>1+0,225697072912514i</v>
      </c>
      <c r="AK254" s="32">
        <f t="shared" si="238"/>
        <v>1.02515324157966</v>
      </c>
      <c r="AL254" s="32">
        <f t="shared" si="239"/>
        <v>0.221977827251099</v>
      </c>
      <c r="AM254" s="32" t="str">
        <f t="shared" si="219"/>
        <v>1-0,022839963796822i</v>
      </c>
      <c r="AN254" s="32">
        <f t="shared" si="240"/>
        <v>1.00026079796533</v>
      </c>
      <c r="AO254" s="32">
        <f t="shared" si="241"/>
        <v>-0.0228359934442464</v>
      </c>
      <c r="AP254" s="30" t="str">
        <f t="shared" si="242"/>
        <v>4,43470027823518-16,3275149400378i</v>
      </c>
      <c r="AQ254" s="32">
        <f t="shared" si="243"/>
        <v>24.5675203539421</v>
      </c>
      <c r="AR254" s="31">
        <f t="shared" si="244"/>
        <v>-74.8045338498351</v>
      </c>
      <c r="AS254" t="str">
        <f t="shared" si="220"/>
        <v>-0,000100699300699301</v>
      </c>
      <c r="AT254" t="str">
        <f t="shared" si="221"/>
        <v>0,0032343196609338i</v>
      </c>
      <c r="AU254">
        <f t="shared" si="245"/>
        <v>0.0032343196609338</v>
      </c>
      <c r="AV254">
        <f t="shared" si="246"/>
        <v>1.5707963267949</v>
      </c>
      <c r="AW254" t="str">
        <f t="shared" si="222"/>
        <v>1+0,165591234309819i</v>
      </c>
      <c r="AX254">
        <f t="shared" si="247"/>
        <v>1.0136175101488</v>
      </c>
      <c r="AY254">
        <f t="shared" si="248"/>
        <v>0.164102128666891</v>
      </c>
      <c r="AZ254" t="str">
        <f t="shared" si="223"/>
        <v>1+7,91667028710986i</v>
      </c>
      <c r="BA254">
        <f t="shared" si="249"/>
        <v>7.97957821158538</v>
      </c>
      <c r="BB254">
        <f t="shared" si="250"/>
        <v>1.44514605304442</v>
      </c>
      <c r="BC254" s="30" t="str">
        <f t="shared" si="251"/>
        <v>-0,234886183511415+0,0700297090607612i</v>
      </c>
      <c r="BD254" s="32">
        <f t="shared" si="252"/>
        <v>-12.2130130935035</v>
      </c>
      <c r="BE254" s="31">
        <f t="shared" si="253"/>
        <v>163.398410237709</v>
      </c>
      <c r="BF254" s="30" t="str">
        <f t="shared" si="254"/>
        <v>0,144476442160697+0,792867563271209i</v>
      </c>
      <c r="BG254" s="68">
        <f t="shared" si="255"/>
        <v>-1.87412543108179</v>
      </c>
      <c r="BH254" s="31">
        <f t="shared" si="256"/>
        <v>79.6728613138951</v>
      </c>
      <c r="BI254" s="30" t="str">
        <f t="shared" si="263"/>
        <v>0,101761297564408+4,14566844074758i</v>
      </c>
      <c r="BJ254" s="68">
        <f t="shared" si="257"/>
        <v>12.3545072604385</v>
      </c>
      <c r="BK254" s="31">
        <f t="shared" si="264"/>
        <v>88.5938763878737</v>
      </c>
      <c r="BL254" s="32">
        <f t="shared" si="258"/>
        <v>-1.87412543108179</v>
      </c>
      <c r="BM254" s="31">
        <f t="shared" si="259"/>
        <v>79.6728613138951</v>
      </c>
      <c r="BO254">
        <f t="shared" si="260"/>
        <v>0</v>
      </c>
      <c r="BP254">
        <f t="shared" si="261"/>
        <v>0</v>
      </c>
    </row>
    <row r="255" spans="14:68">
      <c r="N255" s="7">
        <v>37</v>
      </c>
      <c r="O255" s="18">
        <f t="shared" si="262"/>
        <v>2344.22881531992</v>
      </c>
      <c r="P255" s="86" t="str">
        <f t="shared" si="212"/>
        <v>75</v>
      </c>
      <c r="Q255" s="4" t="str">
        <f t="shared" si="213"/>
        <v>1+24,0577326135056i</v>
      </c>
      <c r="R255" s="4">
        <f t="shared" si="224"/>
        <v>24.07850698243</v>
      </c>
      <c r="S255" s="4">
        <f t="shared" si="225"/>
        <v>1.52925356452273</v>
      </c>
      <c r="T255" s="4" t="str">
        <f t="shared" si="214"/>
        <v>1+0,230954233089654i</v>
      </c>
      <c r="U255" s="4">
        <f t="shared" si="226"/>
        <v>1.02632346644809</v>
      </c>
      <c r="V255" s="4">
        <f t="shared" si="227"/>
        <v>0.226974489203117</v>
      </c>
      <c r="W255" t="str">
        <f t="shared" si="215"/>
        <v>1-0,121147867803725i</v>
      </c>
      <c r="X255" s="4">
        <f t="shared" si="228"/>
        <v>1.00731167265816</v>
      </c>
      <c r="Y255" s="4">
        <f t="shared" si="229"/>
        <v>-0.120560345051845</v>
      </c>
      <c r="Z255" t="str">
        <f t="shared" si="216"/>
        <v>0,999955139520501+0,0380164278670978i</v>
      </c>
      <c r="AA255" s="4">
        <f t="shared" si="230"/>
        <v>1.00067753539351</v>
      </c>
      <c r="AB255" s="4">
        <f t="shared" si="231"/>
        <v>0.037999832383527</v>
      </c>
      <c r="AC255" s="67" t="str">
        <f t="shared" si="232"/>
        <v>0,353128981814288-3,19856326603907i</v>
      </c>
      <c r="AD255" s="68">
        <f t="shared" si="233"/>
        <v>10.1517136844465</v>
      </c>
      <c r="AE255" s="31">
        <f t="shared" si="234"/>
        <v>-83.6999237299053</v>
      </c>
      <c r="AF255" s="32" t="str">
        <f t="shared" si="235"/>
        <v>249,914648392112</v>
      </c>
      <c r="AG255" s="32" t="str">
        <f t="shared" si="217"/>
        <v>1+15,4656852515393i</v>
      </c>
      <c r="AH255" s="32">
        <f t="shared" si="236"/>
        <v>15.4979811685161</v>
      </c>
      <c r="AI255" s="32">
        <f t="shared" si="237"/>
        <v>1.50622693579064</v>
      </c>
      <c r="AJ255" s="32" t="str">
        <f t="shared" si="218"/>
        <v>1+0,230954233089654i</v>
      </c>
      <c r="AK255" s="32">
        <f t="shared" si="238"/>
        <v>1.02632346644809</v>
      </c>
      <c r="AL255" s="32">
        <f t="shared" si="239"/>
        <v>0.226974489203117</v>
      </c>
      <c r="AM255" s="32" t="str">
        <f t="shared" si="219"/>
        <v>1-0,0233719748972341i</v>
      </c>
      <c r="AN255" s="32">
        <f t="shared" si="240"/>
        <v>1.00027308731696</v>
      </c>
      <c r="AO255" s="32">
        <f t="shared" si="241"/>
        <v>-0.0233677206505285</v>
      </c>
      <c r="AP255" s="30" t="str">
        <f t="shared" si="242"/>
        <v>4,38653325301888-15,9628955680016i</v>
      </c>
      <c r="AQ255" s="32">
        <f t="shared" si="243"/>
        <v>24.3783885335465</v>
      </c>
      <c r="AR255" s="31">
        <f t="shared" si="244"/>
        <v>-74.6346378913657</v>
      </c>
      <c r="AS255" t="str">
        <f t="shared" si="220"/>
        <v>-0,000100699300699301</v>
      </c>
      <c r="AT255" t="str">
        <f t="shared" si="221"/>
        <v>0,00330965664382943i</v>
      </c>
      <c r="AU255">
        <f t="shared" si="245"/>
        <v>0.00330965664382943</v>
      </c>
      <c r="AV255">
        <f t="shared" si="246"/>
        <v>1.5707963267949</v>
      </c>
      <c r="AW255" t="str">
        <f t="shared" si="222"/>
        <v>1+0,169448349652359i</v>
      </c>
      <c r="AX255">
        <f t="shared" si="247"/>
        <v>1.01425477233282</v>
      </c>
      <c r="AY255">
        <f t="shared" si="248"/>
        <v>0.167853952870818</v>
      </c>
      <c r="AZ255" t="str">
        <f t="shared" si="223"/>
        <v>1+8,1010732269968i</v>
      </c>
      <c r="BA255">
        <f t="shared" si="249"/>
        <v>8.16256010263718</v>
      </c>
      <c r="BB255">
        <f t="shared" si="250"/>
        <v>1.44797719791475</v>
      </c>
      <c r="BC255" s="30" t="str">
        <f t="shared" si="251"/>
        <v>-0,234591115521215+0,0701769829940799i</v>
      </c>
      <c r="BD255" s="32">
        <f t="shared" si="252"/>
        <v>-12.2215430780171</v>
      </c>
      <c r="BE255" s="31">
        <f t="shared" si="253"/>
        <v>163.345659197609</v>
      </c>
      <c r="BF255" s="30" t="str">
        <f t="shared" si="254"/>
        <v>0,141624598159628+0,775136051196784i</v>
      </c>
      <c r="BG255" s="68">
        <f t="shared" si="255"/>
        <v>-2.06982939357059</v>
      </c>
      <c r="BH255" s="31">
        <f t="shared" si="256"/>
        <v>79.6457354677034</v>
      </c>
      <c r="BI255" s="30" t="str">
        <f t="shared" si="263"/>
        <v>0,0911861217153187+4,05258714774623i</v>
      </c>
      <c r="BJ255" s="68">
        <f t="shared" si="257"/>
        <v>12.1568454555295</v>
      </c>
      <c r="BK255" s="31">
        <f t="shared" si="264"/>
        <v>88.7110213062431</v>
      </c>
      <c r="BL255" s="32">
        <f t="shared" si="258"/>
        <v>-2.06982939357059</v>
      </c>
      <c r="BM255" s="31">
        <f t="shared" si="259"/>
        <v>79.6457354677034</v>
      </c>
      <c r="BO255">
        <f t="shared" si="260"/>
        <v>0</v>
      </c>
      <c r="BP255">
        <f t="shared" si="261"/>
        <v>0</v>
      </c>
    </row>
    <row r="256" spans="14:68">
      <c r="N256" s="7">
        <v>38</v>
      </c>
      <c r="O256" s="18">
        <f t="shared" si="262"/>
        <v>2398.83291901949</v>
      </c>
      <c r="P256" s="86" t="str">
        <f t="shared" si="212"/>
        <v>75</v>
      </c>
      <c r="Q256" s="4" t="str">
        <f t="shared" si="213"/>
        <v>1+24,6181091935646i</v>
      </c>
      <c r="R256" s="4">
        <f t="shared" si="224"/>
        <v>24.6384110743016</v>
      </c>
      <c r="S256" s="4">
        <f t="shared" si="225"/>
        <v>1.5301981424432</v>
      </c>
      <c r="T256" s="4" t="str">
        <f t="shared" si="214"/>
        <v>1+0,23633384825822i</v>
      </c>
      <c r="U256" s="4">
        <f t="shared" si="226"/>
        <v>1.02754741390971</v>
      </c>
      <c r="V256" s="4">
        <f t="shared" si="227"/>
        <v>0.232075625921199</v>
      </c>
      <c r="W256" t="str">
        <f t="shared" si="215"/>
        <v>1-0,123969764153307i</v>
      </c>
      <c r="X256" s="4">
        <f t="shared" si="228"/>
        <v>1.00765495206654</v>
      </c>
      <c r="Y256" s="4">
        <f t="shared" si="229"/>
        <v>-0.123340480191688</v>
      </c>
      <c r="Z256" t="str">
        <f t="shared" si="216"/>
        <v>0,999953025311238+0,0389019442279481i</v>
      </c>
      <c r="AA256" s="4">
        <f t="shared" si="230"/>
        <v>1.00070945538344</v>
      </c>
      <c r="AB256" s="4">
        <f t="shared" si="231"/>
        <v>0.0388841625269626</v>
      </c>
      <c r="AC256" s="67" t="str">
        <f t="shared" si="232"/>
        <v>0,347162950390046-3,13040040231625i</v>
      </c>
      <c r="AD256" s="68">
        <f t="shared" si="233"/>
        <v>9.96508554720515</v>
      </c>
      <c r="AE256" s="31">
        <f t="shared" si="234"/>
        <v>-83.6717288484082</v>
      </c>
      <c r="AF256" s="32" t="str">
        <f t="shared" si="235"/>
        <v>249,914648392112</v>
      </c>
      <c r="AG256" s="32" t="str">
        <f t="shared" si="217"/>
        <v>1+15,8259273387201i</v>
      </c>
      <c r="AH256" s="32">
        <f t="shared" si="236"/>
        <v>15.857489591056</v>
      </c>
      <c r="AI256" s="32">
        <f t="shared" si="237"/>
        <v>1.50769277063762</v>
      </c>
      <c r="AJ256" s="32" t="str">
        <f t="shared" si="218"/>
        <v>1+0,23633384825822i</v>
      </c>
      <c r="AK256" s="32">
        <f t="shared" si="238"/>
        <v>1.02754741390971</v>
      </c>
      <c r="AL256" s="32">
        <f t="shared" si="239"/>
        <v>0.232075625921199</v>
      </c>
      <c r="AM256" s="32" t="str">
        <f t="shared" si="219"/>
        <v>1-0,0239163781281015i</v>
      </c>
      <c r="AN256" s="32">
        <f t="shared" si="240"/>
        <v>1.00028595568606</v>
      </c>
      <c r="AO256" s="32">
        <f t="shared" si="241"/>
        <v>-0.0239118196910064</v>
      </c>
      <c r="AP256" s="30" t="str">
        <f t="shared" si="242"/>
        <v>4,34051645245184-15,6064606291115i</v>
      </c>
      <c r="AQ256" s="32">
        <f t="shared" si="243"/>
        <v>24.1896663845142</v>
      </c>
      <c r="AR256" s="31">
        <f t="shared" si="244"/>
        <v>-74.4575250155521</v>
      </c>
      <c r="AS256" t="str">
        <f t="shared" si="220"/>
        <v>-0,000100699300699301</v>
      </c>
      <c r="AT256" t="str">
        <f t="shared" si="221"/>
        <v>0,0033867484504861i</v>
      </c>
      <c r="AU256">
        <f t="shared" si="245"/>
        <v>0.0033867484504861</v>
      </c>
      <c r="AV256">
        <f t="shared" si="246"/>
        <v>1.5707963267949</v>
      </c>
      <c r="AW256" t="str">
        <f t="shared" si="222"/>
        <v>1+0,173395308752798i</v>
      </c>
      <c r="AX256">
        <f t="shared" si="247"/>
        <v>1.01492163889508</v>
      </c>
      <c r="AY256">
        <f t="shared" si="248"/>
        <v>0.171688235467247</v>
      </c>
      <c r="AZ256" t="str">
        <f t="shared" si="223"/>
        <v>1+8,28977146313909i</v>
      </c>
      <c r="BA256">
        <f t="shared" si="249"/>
        <v>8.34986891580192</v>
      </c>
      <c r="BB256">
        <f t="shared" si="250"/>
        <v>1.45074581150116</v>
      </c>
      <c r="BC256" s="30" t="str">
        <f t="shared" si="251"/>
        <v>-0,234282934930651+0,0703568892967341i</v>
      </c>
      <c r="BD256" s="32">
        <f t="shared" si="252"/>
        <v>-12.2301868134178</v>
      </c>
      <c r="BE256" s="31">
        <f t="shared" si="253"/>
        <v>163.284600860976</v>
      </c>
      <c r="BF256" s="30" t="str">
        <f t="shared" si="254"/>
        <v>0,138910879643652+0,757824699031262i</v>
      </c>
      <c r="BG256" s="68">
        <f t="shared" si="255"/>
        <v>-2.2651012662126</v>
      </c>
      <c r="BH256" s="31">
        <f t="shared" si="256"/>
        <v>79.6128720125683</v>
      </c>
      <c r="BI256" s="30" t="str">
        <f t="shared" si="263"/>
        <v>0,0811130892010425+3,9617126356037i</v>
      </c>
      <c r="BJ256" s="68">
        <f t="shared" si="257"/>
        <v>11.9594795710965</v>
      </c>
      <c r="BK256" s="31">
        <f t="shared" si="264"/>
        <v>88.8270758454244</v>
      </c>
      <c r="BL256" s="32">
        <f t="shared" si="258"/>
        <v>-2.2651012662126</v>
      </c>
      <c r="BM256" s="31">
        <f t="shared" si="259"/>
        <v>79.6128720125683</v>
      </c>
      <c r="BO256">
        <f t="shared" si="260"/>
        <v>0</v>
      </c>
      <c r="BP256">
        <f t="shared" si="261"/>
        <v>0</v>
      </c>
    </row>
    <row r="257" spans="14:68">
      <c r="N257" s="7">
        <v>39</v>
      </c>
      <c r="O257" s="18">
        <f t="shared" si="262"/>
        <v>2454.70891568503</v>
      </c>
      <c r="P257" s="86" t="str">
        <f t="shared" si="212"/>
        <v>75</v>
      </c>
      <c r="Q257" s="4" t="str">
        <f t="shared" si="213"/>
        <v>1+25,191538620977i</v>
      </c>
      <c r="R257" s="4">
        <f t="shared" si="224"/>
        <v>25.2113787423888</v>
      </c>
      <c r="S257" s="4">
        <f t="shared" si="225"/>
        <v>1.5311212891921</v>
      </c>
      <c r="T257" s="4" t="str">
        <f t="shared" si="214"/>
        <v>1+0,241838770761379i</v>
      </c>
      <c r="U257" s="4">
        <f t="shared" si="226"/>
        <v>1.02882748361588</v>
      </c>
      <c r="V257" s="4">
        <f t="shared" si="227"/>
        <v>0.237282879706007</v>
      </c>
      <c r="W257" t="str">
        <f t="shared" si="215"/>
        <v>1-0,126857390912777i</v>
      </c>
      <c r="X257" s="4">
        <f t="shared" si="228"/>
        <v>1.00801428443708</v>
      </c>
      <c r="Y257" s="4">
        <f t="shared" si="229"/>
        <v>-0.126183390201969</v>
      </c>
      <c r="Z257" t="str">
        <f t="shared" si="216"/>
        <v>0,999950811462361+0,039808086914556i</v>
      </c>
      <c r="AA257" s="4">
        <f t="shared" si="230"/>
        <v>1.00074287862969</v>
      </c>
      <c r="AB257" s="4">
        <f t="shared" si="231"/>
        <v>0.0397890342416169</v>
      </c>
      <c r="AC257" s="67" t="str">
        <f t="shared" si="232"/>
        <v>0,341448854540842-3,06387555006607i</v>
      </c>
      <c r="AD257" s="68">
        <f t="shared" si="233"/>
        <v>9.77902804231485</v>
      </c>
      <c r="AE257" s="31">
        <f t="shared" si="234"/>
        <v>-83.6409996716438</v>
      </c>
      <c r="AF257" s="32" t="str">
        <f t="shared" si="235"/>
        <v>249,914648392112</v>
      </c>
      <c r="AG257" s="32" t="str">
        <f t="shared" si="217"/>
        <v>1+16,1945605420566i</v>
      </c>
      <c r="AH257" s="32">
        <f t="shared" si="236"/>
        <v>16.2254057314551</v>
      </c>
      <c r="AI257" s="32">
        <f t="shared" si="237"/>
        <v>1.50912550144102</v>
      </c>
      <c r="AJ257" s="32" t="str">
        <f t="shared" si="218"/>
        <v>1+0,241838770761379i</v>
      </c>
      <c r="AK257" s="32">
        <f t="shared" si="238"/>
        <v>1.02882748361588</v>
      </c>
      <c r="AL257" s="32">
        <f t="shared" si="239"/>
        <v>0.237282879706007</v>
      </c>
      <c r="AM257" s="32" t="str">
        <f t="shared" si="219"/>
        <v>1-0,0244734621392229i</v>
      </c>
      <c r="AN257" s="32">
        <f t="shared" si="240"/>
        <v>1.00029943034527</v>
      </c>
      <c r="AO257" s="32">
        <f t="shared" si="241"/>
        <v>-0.0244685777648376</v>
      </c>
      <c r="AP257" s="30" t="str">
        <f t="shared" si="242"/>
        <v>4,29655464431029-15,2580396325883i</v>
      </c>
      <c r="AQ257" s="32">
        <f t="shared" si="243"/>
        <v>24.0013745126915</v>
      </c>
      <c r="AR257" s="31">
        <f t="shared" si="244"/>
        <v>-74.2731606668824</v>
      </c>
      <c r="AS257" t="str">
        <f t="shared" si="220"/>
        <v>-0,000100699300699301</v>
      </c>
      <c r="AT257" t="str">
        <f t="shared" si="221"/>
        <v>0,00346563595600013i</v>
      </c>
      <c r="AU257">
        <f t="shared" si="245"/>
        <v>0.00346563595600013</v>
      </c>
      <c r="AV257">
        <f t="shared" si="246"/>
        <v>1.5707963267949</v>
      </c>
      <c r="AW257" t="str">
        <f t="shared" si="222"/>
        <v>1+0,177434204341096i</v>
      </c>
      <c r="AX257">
        <f t="shared" si="247"/>
        <v>1.01561946459792</v>
      </c>
      <c r="AY257">
        <f t="shared" si="248"/>
        <v>0.175606558253175</v>
      </c>
      <c r="AZ257" t="str">
        <f t="shared" si="223"/>
        <v>1+8,48286504583919i</v>
      </c>
      <c r="BA257">
        <f t="shared" si="249"/>
        <v>8.54160402886485</v>
      </c>
      <c r="BB257">
        <f t="shared" si="250"/>
        <v>1.45345319189189</v>
      </c>
      <c r="BC257" s="30" t="str">
        <f t="shared" si="251"/>
        <v>-0,233961096893043+0,0705692153697135i</v>
      </c>
      <c r="BD257" s="32">
        <f t="shared" si="252"/>
        <v>-12.2389613445597</v>
      </c>
      <c r="BE257" s="31">
        <f t="shared" si="253"/>
        <v>163.215218972499</v>
      </c>
      <c r="BF257" s="30" t="str">
        <f t="shared" si="254"/>
        <v>0,136329545017363+0,740923462191068i</v>
      </c>
      <c r="BG257" s="68">
        <f t="shared" si="255"/>
        <v>-2.45993330224482</v>
      </c>
      <c r="BH257" s="31">
        <f t="shared" si="256"/>
        <v>79.5742193008548</v>
      </c>
      <c r="BI257" s="30" t="str">
        <f t="shared" si="263"/>
        <v>0,0715212475080143+3,87299217891996i</v>
      </c>
      <c r="BJ257" s="68">
        <f t="shared" si="257"/>
        <v>11.7624131681318</v>
      </c>
      <c r="BK257" s="31">
        <f t="shared" si="264"/>
        <v>88.9420583056161</v>
      </c>
      <c r="BL257" s="32">
        <f t="shared" si="258"/>
        <v>-2.45993330224482</v>
      </c>
      <c r="BM257" s="31">
        <f t="shared" si="259"/>
        <v>79.5742193008548</v>
      </c>
      <c r="BO257">
        <f t="shared" si="260"/>
        <v>0</v>
      </c>
      <c r="BP257">
        <f t="shared" si="261"/>
        <v>0</v>
      </c>
    </row>
    <row r="258" spans="14:68">
      <c r="N258" s="7">
        <v>40</v>
      </c>
      <c r="O258" s="18">
        <f t="shared" si="262"/>
        <v>2511.88643150958</v>
      </c>
      <c r="P258" s="86" t="str">
        <f t="shared" si="212"/>
        <v>75</v>
      </c>
      <c r="Q258" s="4" t="str">
        <f t="shared" si="213"/>
        <v>1+25,7783249356158i</v>
      </c>
      <c r="R258" s="4">
        <f t="shared" si="224"/>
        <v>25.7977137840971</v>
      </c>
      <c r="S258" s="4">
        <f t="shared" si="225"/>
        <v>1.53202348793684</v>
      </c>
      <c r="T258" s="4" t="str">
        <f t="shared" si="214"/>
        <v>1+0,247471919381912i</v>
      </c>
      <c r="U258" s="4">
        <f t="shared" si="226"/>
        <v>1.03016617634368</v>
      </c>
      <c r="V258" s="4">
        <f t="shared" si="227"/>
        <v>0.242597881438763</v>
      </c>
      <c r="W258" t="str">
        <f t="shared" si="215"/>
        <v>1-0,129812279140066i</v>
      </c>
      <c r="X258" s="4">
        <f t="shared" si="228"/>
        <v>1.00839041438103</v>
      </c>
      <c r="Y258" s="4">
        <f t="shared" si="229"/>
        <v>-0.129090398518728</v>
      </c>
      <c r="Z258" t="str">
        <f t="shared" si="216"/>
        <v>0,999948493278002+0,0407353363757684i</v>
      </c>
      <c r="AA258" s="4">
        <f t="shared" si="230"/>
        <v>1.00077787587386</v>
      </c>
      <c r="AB258" s="4">
        <f t="shared" si="231"/>
        <v>0.0407149219248546</v>
      </c>
      <c r="AC258" s="67" t="str">
        <f t="shared" si="232"/>
        <v>0,335974690537688-2,99895480166472i</v>
      </c>
      <c r="AD258" s="68">
        <f t="shared" si="233"/>
        <v>9.59356685171097</v>
      </c>
      <c r="AE258" s="31">
        <f t="shared" si="234"/>
        <v>-83.6077734487199</v>
      </c>
      <c r="AF258" s="32" t="str">
        <f t="shared" si="235"/>
        <v>249,914648392112</v>
      </c>
      <c r="AG258" s="32" t="str">
        <f t="shared" si="217"/>
        <v>1+16,571780315753i</v>
      </c>
      <c r="AH258" s="32">
        <f t="shared" si="236"/>
        <v>16.6019246725667</v>
      </c>
      <c r="AI258" s="32">
        <f t="shared" si="237"/>
        <v>1.51052586431246</v>
      </c>
      <c r="AJ258" s="32" t="str">
        <f t="shared" si="218"/>
        <v>1+0,247471919381912i</v>
      </c>
      <c r="AK258" s="32">
        <f t="shared" si="238"/>
        <v>1.03016617634368</v>
      </c>
      <c r="AL258" s="32">
        <f t="shared" si="239"/>
        <v>0.242597881438763</v>
      </c>
      <c r="AM258" s="32" t="str">
        <f t="shared" si="219"/>
        <v>1-0,0250435223039152i</v>
      </c>
      <c r="AN258" s="32">
        <f t="shared" si="240"/>
        <v>1.00031353985107</v>
      </c>
      <c r="AO258" s="32">
        <f t="shared" si="241"/>
        <v>-0.0250382886910627</v>
      </c>
      <c r="AP258" s="30" t="str">
        <f t="shared" si="242"/>
        <v>4,25455674784934-14,9174651180952i</v>
      </c>
      <c r="AQ258" s="32">
        <f t="shared" si="243"/>
        <v>23.8135341438633</v>
      </c>
      <c r="AR258" s="31">
        <f t="shared" si="244"/>
        <v>-74.0815104134265</v>
      </c>
      <c r="AS258" t="str">
        <f t="shared" si="220"/>
        <v>-0,000100699300699301</v>
      </c>
      <c r="AT258" t="str">
        <f t="shared" si="221"/>
        <v>0,00354636098757114i</v>
      </c>
      <c r="AU258">
        <f t="shared" si="245"/>
        <v>0.00354636098757114</v>
      </c>
      <c r="AV258">
        <f t="shared" si="246"/>
        <v>1.5707963267949</v>
      </c>
      <c r="AW258" t="str">
        <f t="shared" si="222"/>
        <v>1+0,181567177893155i</v>
      </c>
      <c r="AX258">
        <f t="shared" si="247"/>
        <v>1.01634966428296</v>
      </c>
      <c r="AY258">
        <f t="shared" si="248"/>
        <v>0.17961051726367</v>
      </c>
      <c r="AZ258" t="str">
        <f t="shared" si="223"/>
        <v>1+8,68045635587063i</v>
      </c>
      <c r="BA258">
        <f t="shared" si="249"/>
        <v>8.73786716230997</v>
      </c>
      <c r="BB258">
        <f t="shared" si="250"/>
        <v>1.45610061573169</v>
      </c>
      <c r="BC258" s="30" t="str">
        <f t="shared" si="251"/>
        <v>-0,233625037452882+0,0708137460165209i</v>
      </c>
      <c r="BD258" s="32">
        <f t="shared" si="252"/>
        <v>-12.2478839229555</v>
      </c>
      <c r="BE258" s="31">
        <f t="shared" si="253"/>
        <v>163.137495232457</v>
      </c>
      <c r="BF258" s="30" t="str">
        <f t="shared" si="254"/>
        <v>0,133875123980023+0,724422554262135i</v>
      </c>
      <c r="BG258" s="68">
        <f t="shared" si="255"/>
        <v>-2.65431707124457</v>
      </c>
      <c r="BH258" s="31">
        <f t="shared" si="256"/>
        <v>79.5297217837368</v>
      </c>
      <c r="BI258" s="30" t="str">
        <f t="shared" si="263"/>
        <v>0,0623906065213897+3,78637444787213i</v>
      </c>
      <c r="BJ258" s="68">
        <f t="shared" si="257"/>
        <v>11.5656502209077</v>
      </c>
      <c r="BK258" s="31">
        <f t="shared" si="264"/>
        <v>89.0559848190302</v>
      </c>
      <c r="BL258" s="32">
        <f t="shared" si="258"/>
        <v>-2.65431707124457</v>
      </c>
      <c r="BM258" s="31">
        <f t="shared" si="259"/>
        <v>79.5297217837368</v>
      </c>
      <c r="BO258">
        <f t="shared" si="260"/>
        <v>0</v>
      </c>
      <c r="BP258">
        <f t="shared" si="261"/>
        <v>0</v>
      </c>
    </row>
    <row r="259" spans="14:68">
      <c r="N259" s="7">
        <v>41</v>
      </c>
      <c r="O259" s="18">
        <f t="shared" si="262"/>
        <v>2570.39578276887</v>
      </c>
      <c r="P259" s="86" t="str">
        <f t="shared" si="212"/>
        <v>75</v>
      </c>
      <c r="Q259" s="4" t="str">
        <f t="shared" si="213"/>
        <v>1+26,3787792593518i</v>
      </c>
      <c r="R259" s="4">
        <f t="shared" si="224"/>
        <v>26.3977270842322</v>
      </c>
      <c r="S259" s="4">
        <f t="shared" si="225"/>
        <v>1.53290521115692</v>
      </c>
      <c r="T259" s="4" t="str">
        <f t="shared" si="214"/>
        <v>1+0,253236280889778i</v>
      </c>
      <c r="U259" s="4">
        <f t="shared" si="226"/>
        <v>1.03156609771691</v>
      </c>
      <c r="V259" s="4">
        <f t="shared" si="227"/>
        <v>0.248022247525237</v>
      </c>
      <c r="W259" t="str">
        <f t="shared" si="215"/>
        <v>1-0,132835995556022i</v>
      </c>
      <c r="X259" s="4">
        <f t="shared" si="228"/>
        <v>1.00878412047145</v>
      </c>
      <c r="Y259" s="4">
        <f t="shared" si="229"/>
        <v>-0.132062849841675</v>
      </c>
      <c r="Z259" t="str">
        <f t="shared" si="216"/>
        <v>0,999946065840979+0,041684184251523i</v>
      </c>
      <c r="AA259" s="4">
        <f t="shared" si="230"/>
        <v>1.00081452118141</v>
      </c>
      <c r="AB259" s="4">
        <f t="shared" si="231"/>
        <v>0.0416623107335644</v>
      </c>
      <c r="AC259" s="67" t="str">
        <f t="shared" si="232"/>
        <v>0,330728953955249-2,93560500342314i</v>
      </c>
      <c r="AD259" s="68">
        <f t="shared" si="233"/>
        <v>9.40872857447144</v>
      </c>
      <c r="AE259" s="31">
        <f t="shared" si="234"/>
        <v>-83.5720894805504</v>
      </c>
      <c r="AF259" s="32" t="str">
        <f t="shared" si="235"/>
        <v>249,914648392112</v>
      </c>
      <c r="AG259" s="32" t="str">
        <f t="shared" si="217"/>
        <v>1+16,9577866667262i</v>
      </c>
      <c r="AH259" s="32">
        <f t="shared" si="236"/>
        <v>16.9872460579753</v>
      </c>
      <c r="AI259" s="32">
        <f t="shared" si="237"/>
        <v>1.5118945797614</v>
      </c>
      <c r="AJ259" s="32" t="str">
        <f t="shared" si="218"/>
        <v>1+0,253236280889778i</v>
      </c>
      <c r="AK259" s="32">
        <f t="shared" si="238"/>
        <v>1.03156609771691</v>
      </c>
      <c r="AL259" s="32">
        <f t="shared" si="239"/>
        <v>0.248022247525237</v>
      </c>
      <c r="AM259" s="32" t="str">
        <f t="shared" si="219"/>
        <v>1-0,0256268608756231i</v>
      </c>
      <c r="AN259" s="32">
        <f t="shared" si="240"/>
        <v>1.00032831410409</v>
      </c>
      <c r="AO259" s="32">
        <f t="shared" si="241"/>
        <v>-0.025621253057817</v>
      </c>
      <c r="AP259" s="30" t="str">
        <f t="shared" si="242"/>
        <v>4,21443565865704-14,5845726465796i</v>
      </c>
      <c r="AQ259" s="32">
        <f t="shared" si="243"/>
        <v>23.626167143401</v>
      </c>
      <c r="AR259" s="31">
        <f t="shared" si="244"/>
        <v>-73.8825401465376</v>
      </c>
      <c r="AS259" t="str">
        <f t="shared" si="220"/>
        <v>-0,000100699300699301</v>
      </c>
      <c r="AT259" t="str">
        <f t="shared" si="221"/>
        <v>0,00362896634667941i</v>
      </c>
      <c r="AU259">
        <f t="shared" si="245"/>
        <v>0.00362896634667941</v>
      </c>
      <c r="AV259">
        <f t="shared" si="246"/>
        <v>1.5707963267949</v>
      </c>
      <c r="AW259" t="str">
        <f t="shared" si="222"/>
        <v>1+0,185796420766259i</v>
      </c>
      <c r="AX259">
        <f t="shared" si="247"/>
        <v>1.0171137153581</v>
      </c>
      <c r="AY259">
        <f t="shared" si="248"/>
        <v>0.183701721675213</v>
      </c>
      <c r="AZ259" t="str">
        <f t="shared" si="223"/>
        <v>1+8,88265015876133i</v>
      </c>
      <c r="BA259">
        <f t="shared" si="249"/>
        <v>8.93876243352192</v>
      </c>
      <c r="BB259">
        <f t="shared" si="250"/>
        <v>1.45868933819641</v>
      </c>
      <c r="BC259" s="30" t="str">
        <f t="shared" si="251"/>
        <v>-0,23327417321102+0,0710902621678604i</v>
      </c>
      <c r="BD259" s="32">
        <f t="shared" si="252"/>
        <v>-12.2569720328373</v>
      </c>
      <c r="BE259" s="31">
        <f t="shared" si="253"/>
        <v>163.051409358109</v>
      </c>
      <c r="BF259" s="30" t="str">
        <f t="shared" si="254"/>
        <v>0,131542406023777+0,708312438090847i</v>
      </c>
      <c r="BG259" s="68">
        <f t="shared" si="255"/>
        <v>-2.84824345836585</v>
      </c>
      <c r="BH259" s="31">
        <f t="shared" si="256"/>
        <v>79.4793198775585</v>
      </c>
      <c r="BI259" s="30" t="str">
        <f t="shared" si="263"/>
        <v>0,0537020992272879+3,70180946163042i</v>
      </c>
      <c r="BJ259" s="68">
        <f t="shared" si="257"/>
        <v>11.3691951105637</v>
      </c>
      <c r="BK259" s="31">
        <f t="shared" si="264"/>
        <v>89.1688692115714</v>
      </c>
      <c r="BL259" s="32">
        <f t="shared" si="258"/>
        <v>-2.84824345836585</v>
      </c>
      <c r="BM259" s="31">
        <f t="shared" si="259"/>
        <v>79.4793198775585</v>
      </c>
      <c r="BO259">
        <f t="shared" si="260"/>
        <v>0</v>
      </c>
      <c r="BP259">
        <f t="shared" si="261"/>
        <v>0</v>
      </c>
    </row>
    <row r="260" spans="14:68">
      <c r="N260" s="7">
        <v>42</v>
      </c>
      <c r="O260" s="18">
        <f t="shared" si="262"/>
        <v>2630.26799189538</v>
      </c>
      <c r="P260" s="86" t="str">
        <f t="shared" si="212"/>
        <v>75</v>
      </c>
      <c r="Q260" s="4" t="str">
        <f t="shared" si="213"/>
        <v>1+26,9932199610156i</v>
      </c>
      <c r="R260" s="4">
        <f t="shared" si="224"/>
        <v>27.0117367798476</v>
      </c>
      <c r="S260" s="4">
        <f t="shared" si="225"/>
        <v>1.53376692086668</v>
      </c>
      <c r="T260" s="4" t="str">
        <f t="shared" si="214"/>
        <v>1+0,25913491162575i</v>
      </c>
      <c r="U260" s="4">
        <f t="shared" si="226"/>
        <v>1.03302996201625</v>
      </c>
      <c r="V260" s="4">
        <f t="shared" si="227"/>
        <v>0.253557576649151</v>
      </c>
      <c r="W260" t="str">
        <f t="shared" si="215"/>
        <v>1-0,135930143375114i</v>
      </c>
      <c r="X260" s="4">
        <f t="shared" si="228"/>
        <v>1.00919621673784</v>
      </c>
      <c r="Y260" s="4">
        <f t="shared" si="229"/>
        <v>-0.135102109988471</v>
      </c>
      <c r="Z260" t="str">
        <f t="shared" si="216"/>
        <v>0,999943524002374+0,0426551336335232i</v>
      </c>
      <c r="AA260" s="4">
        <f t="shared" si="230"/>
        <v>1.00085289209732</v>
      </c>
      <c r="AB260" s="4">
        <f t="shared" si="231"/>
        <v>0.0426316968141176</v>
      </c>
      <c r="AC260" s="67" t="str">
        <f t="shared" si="232"/>
        <v>0,325700616170821-2,87379374397918i</v>
      </c>
      <c r="AD260" s="68">
        <f t="shared" si="233"/>
        <v>9.22454075336263</v>
      </c>
      <c r="AE260" s="31">
        <f t="shared" si="234"/>
        <v>-83.533989323457</v>
      </c>
      <c r="AF260" s="32" t="str">
        <f t="shared" si="235"/>
        <v>249,914648392112</v>
      </c>
      <c r="AG260" s="32" t="str">
        <f t="shared" si="217"/>
        <v>1+17,3527842606529i</v>
      </c>
      <c r="AH260" s="32">
        <f t="shared" si="236"/>
        <v>17.3815741978902</v>
      </c>
      <c r="AI260" s="32">
        <f t="shared" si="237"/>
        <v>1.51323235297427</v>
      </c>
      <c r="AJ260" s="32" t="str">
        <f t="shared" si="218"/>
        <v>1+0,25913491162575i</v>
      </c>
      <c r="AK260" s="32">
        <f t="shared" si="238"/>
        <v>1.03302996201625</v>
      </c>
      <c r="AL260" s="32">
        <f t="shared" si="239"/>
        <v>0.253557576649151</v>
      </c>
      <c r="AM260" s="32" t="str">
        <f t="shared" si="219"/>
        <v>1-0,026223787148179i</v>
      </c>
      <c r="AN260" s="32">
        <f t="shared" si="240"/>
        <v>1.00034378441234</v>
      </c>
      <c r="AO260" s="32">
        <f t="shared" si="241"/>
        <v>-0.026217778374665</v>
      </c>
      <c r="AP260" s="30" t="str">
        <f t="shared" si="242"/>
        <v>4,17610808038021-14,2592007875836i</v>
      </c>
      <c r="AQ260" s="32">
        <f t="shared" si="243"/>
        <v>23.4392960352754</v>
      </c>
      <c r="AR260" s="31">
        <f t="shared" si="244"/>
        <v>-73.676216291593</v>
      </c>
      <c r="AS260" t="str">
        <f t="shared" si="220"/>
        <v>-0,000100699300699301</v>
      </c>
      <c r="AT260" t="str">
        <f t="shared" si="221"/>
        <v>0,00371349583177972i</v>
      </c>
      <c r="AU260">
        <f t="shared" si="245"/>
        <v>0.00371349583177972</v>
      </c>
      <c r="AV260">
        <f t="shared" si="246"/>
        <v>1.5707963267949</v>
      </c>
      <c r="AW260" t="str">
        <f t="shared" si="222"/>
        <v>1+0,190124175360958i</v>
      </c>
      <c r="AX260">
        <f t="shared" si="247"/>
        <v>1.0179131603711</v>
      </c>
      <c r="AY260">
        <f t="shared" si="248"/>
        <v>0.187881792602578</v>
      </c>
      <c r="AZ260" t="str">
        <f t="shared" si="223"/>
        <v>1+9,08955366034198i</v>
      </c>
      <c r="BA260">
        <f t="shared" si="249"/>
        <v>9.14439641224265</v>
      </c>
      <c r="BB260">
        <f t="shared" si="250"/>
        <v>1.46122059299963</v>
      </c>
      <c r="BC260" s="30" t="str">
        <f t="shared" si="251"/>
        <v>-0,232907901019409+0,0713985395490228i</v>
      </c>
      <c r="BD260" s="32">
        <f t="shared" si="252"/>
        <v>-12.2662434171361</v>
      </c>
      <c r="BE260" s="31">
        <f t="shared" si="253"/>
        <v>162.956939153002</v>
      </c>
      <c r="BF260" s="30" t="str">
        <f t="shared" si="254"/>
        <v>0,129326429412158+0,692583817197713i</v>
      </c>
      <c r="BG260" s="68">
        <f t="shared" si="255"/>
        <v>-3.04170266377342</v>
      </c>
      <c r="BH260" s="31">
        <f t="shared" si="256"/>
        <v>79.422949829545</v>
      </c>
      <c r="BI260" s="30" t="str">
        <f t="shared" si="263"/>
        <v>0,0454375439381964+3,61924854358842i</v>
      </c>
      <c r="BJ260" s="68">
        <f t="shared" si="257"/>
        <v>11.1730526181393</v>
      </c>
      <c r="BK260" s="31">
        <f t="shared" si="264"/>
        <v>89.280722861409</v>
      </c>
      <c r="BL260" s="32">
        <f t="shared" si="258"/>
        <v>-3.04170266377342</v>
      </c>
      <c r="BM260" s="31">
        <f t="shared" si="259"/>
        <v>79.422949829545</v>
      </c>
      <c r="BO260">
        <f t="shared" si="260"/>
        <v>0</v>
      </c>
      <c r="BP260">
        <f t="shared" si="261"/>
        <v>0</v>
      </c>
    </row>
    <row r="261" spans="14:68">
      <c r="N261" s="7">
        <v>43</v>
      </c>
      <c r="O261" s="18">
        <f t="shared" si="262"/>
        <v>2691.53480392692</v>
      </c>
      <c r="P261" s="86" t="str">
        <f t="shared" si="212"/>
        <v>75</v>
      </c>
      <c r="Q261" s="4" t="str">
        <f t="shared" si="213"/>
        <v>1+27,6219728252003i</v>
      </c>
      <c r="R261" s="4">
        <f t="shared" si="224"/>
        <v>27.6400684289331</v>
      </c>
      <c r="S261" s="4">
        <f t="shared" si="225"/>
        <v>1.53460906883422</v>
      </c>
      <c r="T261" s="4" t="str">
        <f t="shared" si="214"/>
        <v>1+0,265170939121923i</v>
      </c>
      <c r="U261" s="4">
        <f t="shared" si="226"/>
        <v>1.03456059607681</v>
      </c>
      <c r="V261" s="4">
        <f t="shared" si="227"/>
        <v>0.259205446329755</v>
      </c>
      <c r="W261" t="str">
        <f t="shared" si="215"/>
        <v>1-0,139096363155473i</v>
      </c>
      <c r="X261" s="4">
        <f t="shared" si="228"/>
        <v>1.0096275542214</v>
      </c>
      <c r="Y261" s="4">
        <f t="shared" si="229"/>
        <v>-0.138209565704777</v>
      </c>
      <c r="Z261" t="str">
        <f t="shared" si="216"/>
        <v>0,999940862370606+0,0436486993319835i</v>
      </c>
      <c r="AA261" s="4">
        <f t="shared" si="230"/>
        <v>1.00089306980908</v>
      </c>
      <c r="AB261" s="4">
        <f t="shared" si="231"/>
        <v>0.04362358753622</v>
      </c>
      <c r="AC261" s="67" t="str">
        <f t="shared" si="232"/>
        <v>0,32087910179937-2,81348934266065i</v>
      </c>
      <c r="AD261" s="68">
        <f t="shared" si="233"/>
        <v>9.04103190100654</v>
      </c>
      <c r="AE261" s="31">
        <f t="shared" si="234"/>
        <v>-83.4935170014672</v>
      </c>
      <c r="AF261" s="32" t="str">
        <f t="shared" si="235"/>
        <v>249,914648392112</v>
      </c>
      <c r="AG261" s="32" t="str">
        <f t="shared" si="217"/>
        <v>1+17,7569825304859i</v>
      </c>
      <c r="AH261" s="32">
        <f t="shared" si="236"/>
        <v>17.7851181775096</v>
      </c>
      <c r="AI261" s="32">
        <f t="shared" si="237"/>
        <v>1.51453987409228</v>
      </c>
      <c r="AJ261" s="32" t="str">
        <f t="shared" si="218"/>
        <v>1+0,265170939121923i</v>
      </c>
      <c r="AK261" s="32">
        <f t="shared" si="238"/>
        <v>1.03456059607681</v>
      </c>
      <c r="AL261" s="32">
        <f t="shared" si="239"/>
        <v>0.259205446329755</v>
      </c>
      <c r="AM261" s="32" t="str">
        <f t="shared" si="219"/>
        <v>1-0,0268346176197937i</v>
      </c>
      <c r="AN261" s="32">
        <f t="shared" si="240"/>
        <v>1.00035998355732</v>
      </c>
      <c r="AO261" s="32">
        <f t="shared" si="241"/>
        <v>-0.0268281792281007</v>
      </c>
      <c r="AP261" s="30" t="str">
        <f t="shared" si="242"/>
        <v>4,13949436310021-13,9411911033412i</v>
      </c>
      <c r="AQ261" s="32">
        <f t="shared" si="243"/>
        <v>23.2529440203362</v>
      </c>
      <c r="AR261" s="31">
        <f t="shared" si="244"/>
        <v>-73.4625060300539</v>
      </c>
      <c r="AS261" t="str">
        <f t="shared" si="220"/>
        <v>-0,000100699300699301</v>
      </c>
      <c r="AT261" t="str">
        <f t="shared" si="221"/>
        <v>0,00379999426152399i</v>
      </c>
      <c r="AU261">
        <f t="shared" si="245"/>
        <v>0.00379999426152399</v>
      </c>
      <c r="AV261">
        <f t="shared" si="246"/>
        <v>1.5707963267949</v>
      </c>
      <c r="AW261" t="str">
        <f t="shared" si="222"/>
        <v>1+0,194552736310026i</v>
      </c>
      <c r="AX261">
        <f t="shared" si="247"/>
        <v>1.01874960967144</v>
      </c>
      <c r="AY261">
        <f t="shared" si="248"/>
        <v>0.192152361783309</v>
      </c>
      <c r="AZ261" t="str">
        <f t="shared" si="223"/>
        <v>1+9,30127656358784i</v>
      </c>
      <c r="BA261">
        <f t="shared" si="249"/>
        <v>9.35487817731201</v>
      </c>
      <c r="BB261">
        <f t="shared" si="250"/>
        <v>1.46369559242868</v>
      </c>
      <c r="BC261" s="30" t="str">
        <f t="shared" si="251"/>
        <v>-0,232525597709869+0,0717383472881817i</v>
      </c>
      <c r="BD261" s="32">
        <f t="shared" si="252"/>
        <v>-12.2757161033639</v>
      </c>
      <c r="BE261" s="31">
        <f t="shared" si="253"/>
        <v>162.85406058441</v>
      </c>
      <c r="BF261" s="30" t="str">
        <f t="shared" si="254"/>
        <v>0,127222470616883+0,677227627494917i</v>
      </c>
      <c r="BG261" s="68">
        <f t="shared" si="255"/>
        <v>-3.23468420235736</v>
      </c>
      <c r="BH261" s="31">
        <f t="shared" si="256"/>
        <v>79.3605435829425</v>
      </c>
      <c r="BI261" s="30" t="str">
        <f t="shared" si="263"/>
        <v>0,0375796079858901+3,53864427830947i</v>
      </c>
      <c r="BJ261" s="68">
        <f t="shared" si="257"/>
        <v>10.9772279169722</v>
      </c>
      <c r="BK261" s="31">
        <f t="shared" si="264"/>
        <v>89.3915545543558</v>
      </c>
      <c r="BL261" s="32">
        <f t="shared" si="258"/>
        <v>-3.23468420235736</v>
      </c>
      <c r="BM261" s="31">
        <f t="shared" si="259"/>
        <v>79.3605435829425</v>
      </c>
      <c r="BO261">
        <f t="shared" si="260"/>
        <v>0</v>
      </c>
      <c r="BP261">
        <f t="shared" si="261"/>
        <v>0</v>
      </c>
    </row>
    <row r="262" spans="14:68">
      <c r="N262" s="7">
        <v>44</v>
      </c>
      <c r="O262" s="18">
        <f t="shared" si="262"/>
        <v>2754.22870333817</v>
      </c>
      <c r="P262" s="86" t="str">
        <f t="shared" si="212"/>
        <v>75</v>
      </c>
      <c r="Q262" s="4" t="str">
        <f t="shared" si="213"/>
        <v>1+28,2653712249969i</v>
      </c>
      <c r="R262" s="4">
        <f t="shared" si="224"/>
        <v>28.2830551830399</v>
      </c>
      <c r="S262" s="4">
        <f t="shared" si="225"/>
        <v>1.53543209679673</v>
      </c>
      <c r="T262" s="4" t="str">
        <f t="shared" si="214"/>
        <v>1+0,271347563759971i</v>
      </c>
      <c r="U262" s="4">
        <f t="shared" si="226"/>
        <v>1.03616094327014</v>
      </c>
      <c r="V262" s="4">
        <f t="shared" si="227"/>
        <v>0.264967409278855</v>
      </c>
      <c r="W262" t="str">
        <f t="shared" si="215"/>
        <v>1-0,142336333668735i</v>
      </c>
      <c r="X262" s="4">
        <f t="shared" si="228"/>
        <v>1.01007902259291</v>
      </c>
      <c r="Y262" s="4">
        <f t="shared" si="229"/>
        <v>-0.141386624426708</v>
      </c>
      <c r="Z262" t="str">
        <f t="shared" si="216"/>
        <v>0,999938075299998+0,0446654081485885i</v>
      </c>
      <c r="AA262" s="4">
        <f t="shared" si="230"/>
        <v>1.0009351393171</v>
      </c>
      <c r="AB262" s="4">
        <f t="shared" si="231"/>
        <v>0.0446385017306442</v>
      </c>
      <c r="AC262" s="67" t="str">
        <f t="shared" si="232"/>
        <v>0,316254267023642-2,75466083783841i</v>
      </c>
      <c r="AD262" s="68">
        <f t="shared" si="233"/>
        <v>8.85823152555737</v>
      </c>
      <c r="AE262" s="31">
        <f t="shared" si="234"/>
        <v>-83.4507192273864</v>
      </c>
      <c r="AF262" s="32" t="str">
        <f t="shared" si="235"/>
        <v>249,914648392112</v>
      </c>
      <c r="AG262" s="32" t="str">
        <f t="shared" si="217"/>
        <v>1+18,170595787498i</v>
      </c>
      <c r="AH262" s="32">
        <f t="shared" si="236"/>
        <v>18.1980919679136</v>
      </c>
      <c r="AI262" s="32">
        <f t="shared" si="237"/>
        <v>1.51581781848749</v>
      </c>
      <c r="AJ262" s="32" t="str">
        <f t="shared" si="218"/>
        <v>1+0,271347563759971i</v>
      </c>
      <c r="AK262" s="32">
        <f t="shared" si="238"/>
        <v>1.03616094327014</v>
      </c>
      <c r="AL262" s="32">
        <f t="shared" si="239"/>
        <v>0.264967409278855</v>
      </c>
      <c r="AM262" s="32" t="str">
        <f t="shared" si="219"/>
        <v>1-0,0274596761608686i</v>
      </c>
      <c r="AN262" s="32">
        <f t="shared" si="240"/>
        <v>1.00037694586334</v>
      </c>
      <c r="AO262" s="32">
        <f t="shared" si="241"/>
        <v>-0.0274527774402641</v>
      </c>
      <c r="AP262" s="30" t="str">
        <f t="shared" si="242"/>
        <v>4,10451834813794-13,630388129959i</v>
      </c>
      <c r="AQ262" s="32">
        <f t="shared" si="243"/>
        <v>23.0671349937515</v>
      </c>
      <c r="AR262" s="31">
        <f t="shared" si="244"/>
        <v>-73.2413775331062</v>
      </c>
      <c r="AS262" t="str">
        <f t="shared" si="220"/>
        <v>-0,000100699300699301</v>
      </c>
      <c r="AT262" t="str">
        <f t="shared" si="221"/>
        <v>0,00388850749852457i</v>
      </c>
      <c r="AU262">
        <f t="shared" si="245"/>
        <v>0.00388850749852457</v>
      </c>
      <c r="AV262">
        <f t="shared" si="246"/>
        <v>1.5707963267949</v>
      </c>
      <c r="AW262" t="str">
        <f t="shared" si="222"/>
        <v>1+0,199084451695096i</v>
      </c>
      <c r="AX262">
        <f t="shared" si="247"/>
        <v>1.01962474416166</v>
      </c>
      <c r="AY262">
        <f t="shared" si="248"/>
        <v>0.196515070143651</v>
      </c>
      <c r="AZ262" t="str">
        <f t="shared" si="223"/>
        <v>1+9,51793112678467i</v>
      </c>
      <c r="BA262">
        <f t="shared" si="249"/>
        <v>9.57031937472394</v>
      </c>
      <c r="BB262">
        <f t="shared" si="250"/>
        <v>1.46611552740779</v>
      </c>
      <c r="BC262" s="30" t="str">
        <f t="shared" si="251"/>
        <v>-0,232126619861825+0,0721094464639899i</v>
      </c>
      <c r="BD262" s="32">
        <f t="shared" si="252"/>
        <v>-12.2854084293722</v>
      </c>
      <c r="BE262" s="31">
        <f t="shared" si="253"/>
        <v>162.742747869115</v>
      </c>
      <c r="BF262" s="30" t="str">
        <f t="shared" si="254"/>
        <v>0,125226034191481+0,662235029290123i</v>
      </c>
      <c r="BG262" s="68">
        <f t="shared" si="255"/>
        <v>-3.42717690381485</v>
      </c>
      <c r="BH262" s="31">
        <f t="shared" si="256"/>
        <v>79.2920286417282</v>
      </c>
      <c r="BI262" s="30" t="str">
        <f t="shared" si="263"/>
        <v>0,0301117728265803+3,45995047009764i</v>
      </c>
      <c r="BJ262" s="68">
        <f t="shared" si="257"/>
        <v>10.7817265643793</v>
      </c>
      <c r="BK262" s="31">
        <f t="shared" si="264"/>
        <v>89.5013703360084</v>
      </c>
      <c r="BL262" s="32">
        <f t="shared" si="258"/>
        <v>-3.42717690381485</v>
      </c>
      <c r="BM262" s="31">
        <f t="shared" si="259"/>
        <v>79.2920286417282</v>
      </c>
      <c r="BO262">
        <f t="shared" si="260"/>
        <v>0</v>
      </c>
      <c r="BP262">
        <f t="shared" si="261"/>
        <v>0</v>
      </c>
    </row>
    <row r="263" spans="14:68">
      <c r="N263" s="7">
        <v>45</v>
      </c>
      <c r="O263" s="18">
        <f t="shared" si="262"/>
        <v>2818.38293126446</v>
      </c>
      <c r="P263" s="86" t="str">
        <f t="shared" si="212"/>
        <v>75</v>
      </c>
      <c r="Q263" s="4" t="str">
        <f t="shared" si="213"/>
        <v>1+28,9237562987534i</v>
      </c>
      <c r="R263" s="4">
        <f t="shared" si="224"/>
        <v>28.9410379639307</v>
      </c>
      <c r="S263" s="4">
        <f t="shared" si="225"/>
        <v>1.53623643667199</v>
      </c>
      <c r="T263" s="4" t="str">
        <f t="shared" si="214"/>
        <v>1+0,277668060468033i</v>
      </c>
      <c r="U263" s="4">
        <f t="shared" si="226"/>
        <v>1.03783406756768</v>
      </c>
      <c r="V263" s="4">
        <f t="shared" si="227"/>
        <v>0.270844989553135</v>
      </c>
      <c r="W263" t="str">
        <f t="shared" si="215"/>
        <v>1-0,145651772790151i</v>
      </c>
      <c r="X263" s="4">
        <f t="shared" si="228"/>
        <v>1.01055155183539</v>
      </c>
      <c r="Y263" s="4">
        <f t="shared" si="229"/>
        <v>-0.144634713992149</v>
      </c>
      <c r="Z263" t="str">
        <f t="shared" si="216"/>
        <v>0,999935156878798+0,0457057991558103i</v>
      </c>
      <c r="AA263" s="4">
        <f t="shared" si="230"/>
        <v>1.0009791896132</v>
      </c>
      <c r="AB263" s="4">
        <f t="shared" si="231"/>
        <v>0.0456769699308247</v>
      </c>
      <c r="AC263" s="67" t="str">
        <f t="shared" si="232"/>
        <v>0,311816378779741-2,69727797528701i</v>
      </c>
      <c r="AD263" s="68">
        <f t="shared" si="233"/>
        <v>8.67617015576674</v>
      </c>
      <c r="AE263" s="31">
        <f t="shared" si="234"/>
        <v>-83.4056456326762</v>
      </c>
      <c r="AF263" s="32" t="str">
        <f t="shared" si="235"/>
        <v>249,914648392112</v>
      </c>
      <c r="AG263" s="32" t="str">
        <f t="shared" si="217"/>
        <v>1+18,5938433349129i</v>
      </c>
      <c r="AH263" s="32">
        <f t="shared" si="236"/>
        <v>18.6207145395467</v>
      </c>
      <c r="AI263" s="32">
        <f t="shared" si="237"/>
        <v>1.51706684703697</v>
      </c>
      <c r="AJ263" s="32" t="str">
        <f t="shared" si="218"/>
        <v>1+0,277668060468033i</v>
      </c>
      <c r="AK263" s="32">
        <f t="shared" si="238"/>
        <v>1.03783406756768</v>
      </c>
      <c r="AL263" s="32">
        <f t="shared" si="239"/>
        <v>0.270844989553135</v>
      </c>
      <c r="AM263" s="32" t="str">
        <f t="shared" si="219"/>
        <v>1-0,0280992941857157i</v>
      </c>
      <c r="AN263" s="32">
        <f t="shared" si="240"/>
        <v>1.00039470726995</v>
      </c>
      <c r="AO263" s="32">
        <f t="shared" si="241"/>
        <v>-0.0280919022309181</v>
      </c>
      <c r="AP263" s="30" t="str">
        <f t="shared" si="242"/>
        <v>4,07110721907163-13,3266393559523i</v>
      </c>
      <c r="AQ263" s="32">
        <f t="shared" si="243"/>
        <v>22.8818935614906</v>
      </c>
      <c r="AR263" s="31">
        <f t="shared" si="244"/>
        <v>-73.0128002071033</v>
      </c>
      <c r="AS263" t="str">
        <f t="shared" si="220"/>
        <v>-0,000100699300699301</v>
      </c>
      <c r="AT263" t="str">
        <f t="shared" si="221"/>
        <v>0,00397908247367136i</v>
      </c>
      <c r="AU263">
        <f t="shared" si="245"/>
        <v>0.00397908247367136</v>
      </c>
      <c r="AV263">
        <f t="shared" si="246"/>
        <v>1.5707963267949</v>
      </c>
      <c r="AW263" t="str">
        <f t="shared" si="222"/>
        <v>1+0,203721724291648i</v>
      </c>
      <c r="AX263">
        <f t="shared" si="247"/>
        <v>1.02054031813954</v>
      </c>
      <c r="AY263">
        <f t="shared" si="248"/>
        <v>0.200971566239704</v>
      </c>
      <c r="AZ263" t="str">
        <f t="shared" si="223"/>
        <v>1+9,73963222304962i</v>
      </c>
      <c r="BA263">
        <f t="shared" si="249"/>
        <v>9.79083427703005</v>
      </c>
      <c r="BB263">
        <f t="shared" si="250"/>
        <v>1.46848156758592</v>
      </c>
      <c r="BC263" s="30" t="str">
        <f t="shared" si="251"/>
        <v>-0,231710303614249+0,0725115885910521i</v>
      </c>
      <c r="BD263" s="32">
        <f t="shared" si="252"/>
        <v>-12.2953390689614</v>
      </c>
      <c r="BE263" s="31">
        <f t="shared" si="253"/>
        <v>162.62297356776</v>
      </c>
      <c r="BF263" s="30" t="str">
        <f t="shared" si="254"/>
        <v>0,123332843060768+0,647597399559808i</v>
      </c>
      <c r="BG263" s="68">
        <f t="shared" si="255"/>
        <v>-3.61916891319468</v>
      </c>
      <c r="BH263" s="31">
        <f t="shared" si="256"/>
        <v>79.2173279350835</v>
      </c>
      <c r="BI263" s="30" t="str">
        <f t="shared" si="263"/>
        <v>0,0230183005028886+3,38312210310469i</v>
      </c>
      <c r="BJ263" s="68">
        <f t="shared" si="257"/>
        <v>10.5865544925292</v>
      </c>
      <c r="BK263" s="31">
        <f t="shared" si="264"/>
        <v>89.6101733606563</v>
      </c>
      <c r="BL263" s="32">
        <f t="shared" si="258"/>
        <v>-3.61916891319468</v>
      </c>
      <c r="BM263" s="31">
        <f t="shared" si="259"/>
        <v>79.2173279350835</v>
      </c>
      <c r="BO263">
        <f t="shared" si="260"/>
        <v>0</v>
      </c>
      <c r="BP263">
        <f t="shared" si="261"/>
        <v>0</v>
      </c>
    </row>
    <row r="264" spans="14:68">
      <c r="N264" s="7">
        <v>46</v>
      </c>
      <c r="O264" s="18">
        <f t="shared" si="262"/>
        <v>2884.03150312661</v>
      </c>
      <c r="P264" s="86" t="str">
        <f t="shared" si="212"/>
        <v>75</v>
      </c>
      <c r="Q264" s="4" t="str">
        <f t="shared" si="213"/>
        <v>1+29,5974771309507i</v>
      </c>
      <c r="R264" s="4">
        <f t="shared" si="224"/>
        <v>29.6143656443482</v>
      </c>
      <c r="S264" s="4">
        <f t="shared" si="225"/>
        <v>1.53702251076624</v>
      </c>
      <c r="T264" s="4" t="str">
        <f t="shared" si="214"/>
        <v>1+0,284135780457127i</v>
      </c>
      <c r="U264" s="4">
        <f t="shared" si="226"/>
        <v>1.03958315768195</v>
      </c>
      <c r="V264" s="4">
        <f t="shared" si="227"/>
        <v>0.276839678498291</v>
      </c>
      <c r="W264" t="str">
        <f t="shared" si="215"/>
        <v>1-0,14904443840943i</v>
      </c>
      <c r="X264" s="4">
        <f t="shared" si="228"/>
        <v>1.01104611399322</v>
      </c>
      <c r="Y264" s="4">
        <f t="shared" si="229"/>
        <v>-0.147955282297173</v>
      </c>
      <c r="Z264" t="str">
        <f t="shared" si="216"/>
        <v>0,999932100916645+0,0467704239827322i</v>
      </c>
      <c r="AA264" s="4">
        <f t="shared" si="230"/>
        <v>1.00102531386729</v>
      </c>
      <c r="AB264" s="4">
        <f t="shared" si="231"/>
        <v>0.0467395346182858</v>
      </c>
      <c r="AC264" s="67" t="str">
        <f t="shared" si="232"/>
        <v>0,307556094759925-2,64131119656893i</v>
      </c>
      <c r="AD264" s="68">
        <f t="shared" si="233"/>
        <v>8.49487936530748</v>
      </c>
      <c r="AE264" s="31">
        <f t="shared" si="234"/>
        <v>-83.3583490061239</v>
      </c>
      <c r="AF264" s="32" t="str">
        <f t="shared" si="235"/>
        <v>249,914648392112</v>
      </c>
      <c r="AG264" s="32" t="str">
        <f t="shared" si="217"/>
        <v>1+19,0269495841826i</v>
      </c>
      <c r="AH264" s="32">
        <f t="shared" si="236"/>
        <v>19.0532099783482</v>
      </c>
      <c r="AI264" s="32">
        <f t="shared" si="237"/>
        <v>1.51828760639474</v>
      </c>
      <c r="AJ264" s="32" t="str">
        <f t="shared" si="218"/>
        <v>1+0,284135780457127i</v>
      </c>
      <c r="AK264" s="32">
        <f t="shared" si="238"/>
        <v>1.03958315768195</v>
      </c>
      <c r="AL264" s="32">
        <f t="shared" si="239"/>
        <v>0.276839678498291</v>
      </c>
      <c r="AM264" s="32" t="str">
        <f t="shared" si="219"/>
        <v>1-0,0287538108282782i</v>
      </c>
      <c r="AN264" s="32">
        <f t="shared" si="240"/>
        <v>1.00041330540789</v>
      </c>
      <c r="AO264" s="32">
        <f t="shared" si="241"/>
        <v>-0.0287458903827308</v>
      </c>
      <c r="AP264" s="30" t="str">
        <f t="shared" si="242"/>
        <v>4,03919135875374-13,0297951983946i</v>
      </c>
      <c r="AQ264" s="32">
        <f t="shared" si="243"/>
        <v>22.6972450557242</v>
      </c>
      <c r="AR264" s="31">
        <f t="shared" si="244"/>
        <v>-72.7767449510039</v>
      </c>
      <c r="AS264" t="str">
        <f t="shared" si="220"/>
        <v>-0,000100699300699301</v>
      </c>
      <c r="AT264" t="str">
        <f t="shared" si="221"/>
        <v>0,00407176721101507i</v>
      </c>
      <c r="AU264">
        <f t="shared" si="245"/>
        <v>0.00407176721101507</v>
      </c>
      <c r="AV264">
        <f t="shared" si="246"/>
        <v>1.5707963267949</v>
      </c>
      <c r="AW264" t="str">
        <f t="shared" si="222"/>
        <v>1+0,208467012842995i</v>
      </c>
      <c r="AX264">
        <f t="shared" si="247"/>
        <v>1.02149816223216</v>
      </c>
      <c r="AY264">
        <f t="shared" si="248"/>
        <v>0.205523504567431</v>
      </c>
      <c r="AZ264" t="str">
        <f t="shared" si="223"/>
        <v>1+9,9664974012385i</v>
      </c>
      <c r="BA264">
        <f t="shared" si="249"/>
        <v>10.0165398441225</v>
      </c>
      <c r="BB264">
        <f t="shared" si="250"/>
        <v>1.47079486144749</v>
      </c>
      <c r="BC264" s="30" t="str">
        <f t="shared" si="251"/>
        <v>-0,231275964527505+0,0729445140420953i</v>
      </c>
      <c r="BD264" s="32">
        <f t="shared" si="252"/>
        <v>-12.3055270573088</v>
      </c>
      <c r="BE264" s="31">
        <f t="shared" si="253"/>
        <v>162.494708688019</v>
      </c>
      <c r="BF264" s="30" t="str">
        <f t="shared" si="254"/>
        <v>0,121538829205751+0,633306324476725i</v>
      </c>
      <c r="BG264" s="68">
        <f t="shared" si="255"/>
        <v>-3.81064769200133</v>
      </c>
      <c r="BH264" s="31">
        <f t="shared" si="256"/>
        <v>79.1363596818946</v>
      </c>
      <c r="BI264" s="30" t="str">
        <f t="shared" si="263"/>
        <v>0,016284201407986+3,30811530289189i</v>
      </c>
      <c r="BJ264" s="68">
        <f t="shared" si="257"/>
        <v>10.3917179984154</v>
      </c>
      <c r="BK264" s="31">
        <f t="shared" si="264"/>
        <v>89.7179637370146</v>
      </c>
      <c r="BL264" s="32">
        <f t="shared" si="258"/>
        <v>-3.81064769200133</v>
      </c>
      <c r="BM264" s="31">
        <f t="shared" si="259"/>
        <v>79.1363596818946</v>
      </c>
      <c r="BO264">
        <f t="shared" si="260"/>
        <v>0</v>
      </c>
      <c r="BP264">
        <f t="shared" si="261"/>
        <v>0</v>
      </c>
    </row>
    <row r="265" spans="14:68">
      <c r="N265" s="7">
        <v>47</v>
      </c>
      <c r="O265" s="18">
        <f t="shared" si="262"/>
        <v>2951.20922666639</v>
      </c>
      <c r="P265" s="86" t="str">
        <f t="shared" si="212"/>
        <v>75</v>
      </c>
      <c r="Q265" s="4" t="str">
        <f t="shared" si="213"/>
        <v>1+30,2868909372917i</v>
      </c>
      <c r="R265" s="4">
        <f t="shared" si="224"/>
        <v>30.3033952329999</v>
      </c>
      <c r="S265" s="4">
        <f t="shared" si="225"/>
        <v>1.53779073197835</v>
      </c>
      <c r="T265" s="4" t="str">
        <f t="shared" si="214"/>
        <v>1+0,290754152998001i</v>
      </c>
      <c r="U265" s="4">
        <f t="shared" si="226"/>
        <v>1.04141153128126</v>
      </c>
      <c r="V265" s="4">
        <f t="shared" si="227"/>
        <v>0.282952930482229</v>
      </c>
      <c r="W265" t="str">
        <f t="shared" si="215"/>
        <v>1-0,152516129362791i</v>
      </c>
      <c r="X265" s="4">
        <f t="shared" si="228"/>
        <v>1.01156372499008</v>
      </c>
      <c r="Y265" s="4">
        <f t="shared" si="229"/>
        <v>-0.151349796893627</v>
      </c>
      <c r="Z265" t="str">
        <f t="shared" si="216"/>
        <v>0,999928900931432+0,0478598471075296i</v>
      </c>
      <c r="AA265" s="4">
        <f t="shared" si="230"/>
        <v>1.00107360962274</v>
      </c>
      <c r="AB265" s="4">
        <f t="shared" si="231"/>
        <v>0.0478267504718684</v>
      </c>
      <c r="AC265" s="67" t="str">
        <f t="shared" si="232"/>
        <v>0,303464444195576-2,58673162745655i</v>
      </c>
      <c r="AD265" s="68">
        <f t="shared" si="233"/>
        <v>8.31439179621494</v>
      </c>
      <c r="AE265" s="31">
        <f t="shared" si="234"/>
        <v>-83.3088855412332</v>
      </c>
      <c r="AF265" s="32" t="str">
        <f t="shared" si="235"/>
        <v>249,914648392112</v>
      </c>
      <c r="AG265" s="32" t="str">
        <f t="shared" si="217"/>
        <v>1+19,4701441739732i</v>
      </c>
      <c r="AH265" s="32">
        <f t="shared" si="236"/>
        <v>19.4958076045929</v>
      </c>
      <c r="AI265" s="32">
        <f t="shared" si="237"/>
        <v>1.5194807292614</v>
      </c>
      <c r="AJ265" s="32" t="str">
        <f t="shared" si="218"/>
        <v>1+0,290754152998001i</v>
      </c>
      <c r="AK265" s="32">
        <f t="shared" si="238"/>
        <v>1.04141153128126</v>
      </c>
      <c r="AL265" s="32">
        <f t="shared" si="239"/>
        <v>0.282952930482229</v>
      </c>
      <c r="AM265" s="32" t="str">
        <f t="shared" si="219"/>
        <v>1-0,0294235731219435i</v>
      </c>
      <c r="AN265" s="32">
        <f t="shared" si="240"/>
        <v>1.00043277967851</v>
      </c>
      <c r="AO265" s="32">
        <f t="shared" si="241"/>
        <v>-0.0294150864099077</v>
      </c>
      <c r="AP265" s="30" t="str">
        <f t="shared" si="242"/>
        <v>4,00870421211798-12,739708976919i</v>
      </c>
      <c r="AQ265" s="32">
        <f t="shared" si="243"/>
        <v>22.5132155490124</v>
      </c>
      <c r="AR265" s="31">
        <f t="shared" si="244"/>
        <v>-72.5331844259484</v>
      </c>
      <c r="AS265" t="str">
        <f t="shared" si="220"/>
        <v>-0,000100699300699301</v>
      </c>
      <c r="AT265" t="str">
        <f t="shared" si="221"/>
        <v>0,00416661085323027i</v>
      </c>
      <c r="AU265">
        <f t="shared" si="245"/>
        <v>0.00416661085323027</v>
      </c>
      <c r="AV265">
        <f t="shared" si="246"/>
        <v>1.5707963267949</v>
      </c>
      <c r="AW265" t="str">
        <f t="shared" si="222"/>
        <v>1+0,213322833363939i</v>
      </c>
      <c r="AX265">
        <f t="shared" si="247"/>
        <v>1.02250018642268</v>
      </c>
      <c r="AY265">
        <f t="shared" si="248"/>
        <v>0.210172543735051</v>
      </c>
      <c r="AZ265" t="str">
        <f t="shared" si="223"/>
        <v>1+10,1986469482717i</v>
      </c>
      <c r="BA265">
        <f t="shared" si="249"/>
        <v>10.2475557854296</v>
      </c>
      <c r="BB265">
        <f t="shared" si="250"/>
        <v>1.47305653644372</v>
      </c>
      <c r="BC265" s="30" t="str">
        <f t="shared" si="251"/>
        <v>-0,230822897501114+0,0734079504059237i</v>
      </c>
      <c r="BD265" s="32">
        <f t="shared" si="252"/>
        <v>-12.3159918161804</v>
      </c>
      <c r="BE265" s="31">
        <f t="shared" si="253"/>
        <v>162.357922796837</v>
      </c>
      <c r="BF265" s="30" t="str">
        <f t="shared" si="254"/>
        <v>0,119840124723977+0,619353592176763i</v>
      </c>
      <c r="BG265" s="68">
        <f t="shared" si="255"/>
        <v>-4.00160001996546</v>
      </c>
      <c r="BH265" s="31">
        <f t="shared" si="256"/>
        <v>79.0490372556037</v>
      </c>
      <c r="BI265" s="30" t="str">
        <f t="shared" si="263"/>
        <v>0,00989520329757831+3,23488729936857i</v>
      </c>
      <c r="BJ265" s="68">
        <f t="shared" si="257"/>
        <v>10.197223732832</v>
      </c>
      <c r="BK265" s="31">
        <f t="shared" si="264"/>
        <v>89.8247383708884</v>
      </c>
      <c r="BL265" s="32">
        <f t="shared" si="258"/>
        <v>-4.00160001996546</v>
      </c>
      <c r="BM265" s="31">
        <f t="shared" si="259"/>
        <v>79.0490372556037</v>
      </c>
      <c r="BO265">
        <f t="shared" si="260"/>
        <v>0</v>
      </c>
      <c r="BP265">
        <f t="shared" si="261"/>
        <v>0</v>
      </c>
    </row>
    <row r="266" spans="14:68">
      <c r="N266" s="7">
        <v>48</v>
      </c>
      <c r="O266" s="18">
        <f t="shared" si="262"/>
        <v>3019.95172040202</v>
      </c>
      <c r="P266" s="86" t="str">
        <f t="shared" si="212"/>
        <v>75</v>
      </c>
      <c r="Q266" s="4" t="str">
        <f t="shared" si="213"/>
        <v>1+30,9923632541021i</v>
      </c>
      <c r="R266" s="4">
        <f t="shared" si="224"/>
        <v>31.008492063856</v>
      </c>
      <c r="S266" s="4">
        <f t="shared" si="225"/>
        <v>1.5385415040003</v>
      </c>
      <c r="T266" s="4" t="str">
        <f t="shared" si="214"/>
        <v>1+0,29752668723938i</v>
      </c>
      <c r="U266" s="4">
        <f t="shared" si="226"/>
        <v>1.04332263927303</v>
      </c>
      <c r="V266" s="4">
        <f t="shared" si="227"/>
        <v>0.289186158415539</v>
      </c>
      <c r="W266" t="str">
        <f t="shared" si="215"/>
        <v>1-0,156068686386729i</v>
      </c>
      <c r="X266" s="4">
        <f t="shared" si="228"/>
        <v>1.01210544651754</v>
      </c>
      <c r="Y266" s="4">
        <f t="shared" si="229"/>
        <v>-0.154819744523772</v>
      </c>
      <c r="Z266" t="str">
        <f t="shared" si="216"/>
        <v>0,999925550135563+0,0489746461567633i</v>
      </c>
      <c r="AA266" s="4">
        <f t="shared" si="230"/>
        <v>1.00112417900083</v>
      </c>
      <c r="AB266" s="4">
        <f t="shared" si="231"/>
        <v>0.0489391846207056</v>
      </c>
      <c r="AC266" s="67" t="str">
        <f t="shared" si="232"/>
        <v>0,299532809384669-2,5335110664049i</v>
      </c>
      <c r="AD266" s="68">
        <f t="shared" si="233"/>
        <v>8.13474118129603</v>
      </c>
      <c r="AE266" s="31">
        <f t="shared" si="234"/>
        <v>-83.2573150921988</v>
      </c>
      <c r="AF266" s="32" t="str">
        <f t="shared" si="235"/>
        <v>249,914648392112</v>
      </c>
      <c r="AG266" s="32" t="str">
        <f t="shared" si="217"/>
        <v>1+19,9236620919228i</v>
      </c>
      <c r="AH266" s="32">
        <f t="shared" si="236"/>
        <v>19.9487420945062</v>
      </c>
      <c r="AI266" s="32">
        <f t="shared" si="237"/>
        <v>1.52064683465108</v>
      </c>
      <c r="AJ266" s="32" t="str">
        <f t="shared" si="218"/>
        <v>1+0,29752668723938i</v>
      </c>
      <c r="AK266" s="32">
        <f t="shared" si="238"/>
        <v>1.04332263927303</v>
      </c>
      <c r="AL266" s="32">
        <f t="shared" si="239"/>
        <v>0.289186158415539</v>
      </c>
      <c r="AM266" s="32" t="str">
        <f t="shared" si="219"/>
        <v>1-0,0301089361835452i</v>
      </c>
      <c r="AN266" s="32">
        <f t="shared" si="240"/>
        <v>1.00045317133692</v>
      </c>
      <c r="AO266" s="32">
        <f t="shared" si="241"/>
        <v>-0.0300998427302155</v>
      </c>
      <c r="AP266" s="30" t="str">
        <f t="shared" si="242"/>
        <v>3,97958215457114-12,4562368857932i</v>
      </c>
      <c r="AQ266" s="32">
        <f t="shared" si="243"/>
        <v>22.3298318671351</v>
      </c>
      <c r="AR266" s="31">
        <f t="shared" si="244"/>
        <v>-72.282093337072</v>
      </c>
      <c r="AS266" t="str">
        <f t="shared" si="220"/>
        <v>-0,000100699300699301</v>
      </c>
      <c r="AT266" t="str">
        <f t="shared" si="221"/>
        <v>0,00426366368767147i</v>
      </c>
      <c r="AU266">
        <f t="shared" si="245"/>
        <v>0.00426366368767147</v>
      </c>
      <c r="AV266">
        <f t="shared" si="246"/>
        <v>1.5707963267949</v>
      </c>
      <c r="AW266" t="str">
        <f t="shared" si="222"/>
        <v>1+0,218291760474794i</v>
      </c>
      <c r="AX266">
        <f t="shared" si="247"/>
        <v>1.02354838317062</v>
      </c>
      <c r="AY266">
        <f t="shared" si="248"/>
        <v>0.214920344491304</v>
      </c>
      <c r="AZ266" t="str">
        <f t="shared" si="223"/>
        <v>1+10,4362039529119i</v>
      </c>
      <c r="BA266">
        <f t="shared" si="249"/>
        <v>10.4840046235574</v>
      </c>
      <c r="BB266">
        <f t="shared" si="250"/>
        <v>1.47526769914293</v>
      </c>
      <c r="BC266" s="30" t="str">
        <f t="shared" si="251"/>
        <v>-0,23035037675393+0,0739016107805722i</v>
      </c>
      <c r="BD266" s="32">
        <f t="shared" si="252"/>
        <v>-12.3267531788846</v>
      </c>
      <c r="BE266" s="31">
        <f t="shared" si="253"/>
        <v>162.212584142016</v>
      </c>
      <c r="BF266" s="30" t="str">
        <f t="shared" si="254"/>
        <v>0,118233053245806+0,605731185751777i</v>
      </c>
      <c r="BG266" s="68">
        <f t="shared" si="255"/>
        <v>-4.19201199758852</v>
      </c>
      <c r="BH266" s="31">
        <f t="shared" si="256"/>
        <v>78.9552690498173</v>
      </c>
      <c r="BI266" s="30" t="str">
        <f t="shared" si="263"/>
        <v>0,00383772149581718+3,16339639103509i</v>
      </c>
      <c r="BJ266" s="68">
        <f t="shared" si="257"/>
        <v>10.0030786882505</v>
      </c>
      <c r="BK266" s="31">
        <f t="shared" si="264"/>
        <v>89.9304908049441</v>
      </c>
      <c r="BL266" s="32">
        <f t="shared" si="258"/>
        <v>-4.19201199758852</v>
      </c>
      <c r="BM266" s="31">
        <f t="shared" si="259"/>
        <v>78.9552690498173</v>
      </c>
      <c r="BO266">
        <f t="shared" si="260"/>
        <v>0</v>
      </c>
      <c r="BP266">
        <f t="shared" si="261"/>
        <v>0</v>
      </c>
    </row>
    <row r="267" spans="14:68">
      <c r="N267" s="7">
        <v>49</v>
      </c>
      <c r="O267" s="18">
        <f t="shared" si="262"/>
        <v>3090.29543251359</v>
      </c>
      <c r="P267" s="86" t="str">
        <f t="shared" si="212"/>
        <v>75</v>
      </c>
      <c r="Q267" s="4" t="str">
        <f t="shared" si="213"/>
        <v>1+31,7142681321422i</v>
      </c>
      <c r="R267" s="4">
        <f t="shared" si="224"/>
        <v>31.7300299898599</v>
      </c>
      <c r="S267" s="4">
        <f t="shared" si="225"/>
        <v>1.53927522151397</v>
      </c>
      <c r="T267" s="4" t="str">
        <f t="shared" si="214"/>
        <v>1+0,304456974068565i</v>
      </c>
      <c r="U267" s="4">
        <f t="shared" si="226"/>
        <v>1.04532007015028</v>
      </c>
      <c r="V267" s="4">
        <f t="shared" si="227"/>
        <v>0.295540729058418</v>
      </c>
      <c r="W267" t="str">
        <f t="shared" si="215"/>
        <v>1-0,159703993094002i</v>
      </c>
      <c r="X267" s="4">
        <f t="shared" si="228"/>
        <v>1.01267238799632</v>
      </c>
      <c r="Y267" s="4">
        <f t="shared" si="229"/>
        <v>-0.15836663058764</v>
      </c>
      <c r="Z267" t="str">
        <f t="shared" si="216"/>
        <v>0,999922041421549+0,0501154122116455i</v>
      </c>
      <c r="AA267" s="4">
        <f t="shared" si="230"/>
        <v>1.00117712891465</v>
      </c>
      <c r="AB267" s="4">
        <f t="shared" si="231"/>
        <v>0.0500774169008971</v>
      </c>
      <c r="AC267" s="67" t="str">
        <f t="shared" si="232"/>
        <v>0,295752907929096-2,48162197308636i</v>
      </c>
      <c r="AD267" s="68">
        <f t="shared" si="233"/>
        <v>7.95596236534428</v>
      </c>
      <c r="AE267" s="31">
        <f t="shared" si="234"/>
        <v>-83.2037014382664</v>
      </c>
      <c r="AF267" s="32" t="str">
        <f t="shared" si="235"/>
        <v>249,914648392112</v>
      </c>
      <c r="AG267" s="32" t="str">
        <f t="shared" si="217"/>
        <v>1+20,3877437992343i</v>
      </c>
      <c r="AH267" s="32">
        <f t="shared" si="236"/>
        <v>20.4122536047154</v>
      </c>
      <c r="AI267" s="32">
        <f t="shared" si="237"/>
        <v>1.52178652815574</v>
      </c>
      <c r="AJ267" s="32" t="str">
        <f t="shared" si="218"/>
        <v>1+0,304456974068565i</v>
      </c>
      <c r="AK267" s="32">
        <f t="shared" si="238"/>
        <v>1.04532007015028</v>
      </c>
      <c r="AL267" s="32">
        <f t="shared" si="239"/>
        <v>0.295540729058418</v>
      </c>
      <c r="AM267" s="32" t="str">
        <f t="shared" si="219"/>
        <v>1-0,0308102634016502i</v>
      </c>
      <c r="AN267" s="32">
        <f t="shared" si="240"/>
        <v>1.00047452357913</v>
      </c>
      <c r="AO267" s="32">
        <f t="shared" si="241"/>
        <v>-0.0308005198404395</v>
      </c>
      <c r="AP267" s="30" t="str">
        <f t="shared" si="242"/>
        <v>3,95176436576961-12,1792379642745i</v>
      </c>
      <c r="AQ267" s="32">
        <f t="shared" si="243"/>
        <v>22.1471216004176</v>
      </c>
      <c r="AR267" s="31">
        <f t="shared" si="244"/>
        <v>-72.0234487275895</v>
      </c>
      <c r="AS267" t="str">
        <f t="shared" si="220"/>
        <v>-0,000100699300699301</v>
      </c>
      <c r="AT267" t="str">
        <f t="shared" si="221"/>
        <v>0,00436297717303613i</v>
      </c>
      <c r="AU267">
        <f t="shared" si="245"/>
        <v>0.00436297717303613</v>
      </c>
      <c r="AV267">
        <f t="shared" si="246"/>
        <v>1.5707963267949</v>
      </c>
      <c r="AW267" t="str">
        <f t="shared" si="222"/>
        <v>1+0,223376428766485i</v>
      </c>
      <c r="AX267">
        <f t="shared" si="247"/>
        <v>1.02464483062594</v>
      </c>
      <c r="AY267">
        <f t="shared" si="248"/>
        <v>0.219768567603031</v>
      </c>
      <c r="AZ267" t="str">
        <f t="shared" si="223"/>
        <v>1+10,6792943710275i</v>
      </c>
      <c r="BA267">
        <f t="shared" si="249"/>
        <v>10.7260117594127</v>
      </c>
      <c r="BB267">
        <f t="shared" si="250"/>
        <v>1.47742943539804</v>
      </c>
      <c r="BC267" s="30" t="str">
        <f t="shared" si="251"/>
        <v>-0,229857655873602+0,0744251920014461i</v>
      </c>
      <c r="BD267" s="32">
        <f t="shared" si="252"/>
        <v>-12.337831414921</v>
      </c>
      <c r="BE267" s="31">
        <f t="shared" si="253"/>
        <v>162.058659783415</v>
      </c>
      <c r="BF267" s="30" t="str">
        <f t="shared" si="254"/>
        <v>0,116714121687577+0,592431276455663i</v>
      </c>
      <c r="BG267" s="68">
        <f t="shared" si="255"/>
        <v>-4.38186904957668</v>
      </c>
      <c r="BH267" s="31">
        <f t="shared" si="256"/>
        <v>78.8549583451481</v>
      </c>
      <c r="BI267" s="30" t="str">
        <f t="shared" si="263"/>
        <v>-0,00190116975820287+3,09360191046179i</v>
      </c>
      <c r="BJ267" s="68">
        <f t="shared" si="257"/>
        <v>9.80929018549661</v>
      </c>
      <c r="BK267" s="31">
        <f t="shared" si="264"/>
        <v>90.0352110558251</v>
      </c>
      <c r="BL267" s="32">
        <f t="shared" si="258"/>
        <v>-4.38186904957668</v>
      </c>
      <c r="BM267" s="31">
        <f t="shared" si="259"/>
        <v>78.8549583451481</v>
      </c>
      <c r="BO267">
        <f t="shared" si="260"/>
        <v>0</v>
      </c>
      <c r="BP267">
        <f t="shared" si="261"/>
        <v>0</v>
      </c>
    </row>
    <row r="268" spans="14:68">
      <c r="N268" s="7">
        <v>50</v>
      </c>
      <c r="O268" s="18">
        <f t="shared" si="262"/>
        <v>3162.27766016838</v>
      </c>
      <c r="P268" s="86" t="str">
        <f t="shared" si="212"/>
        <v>75</v>
      </c>
      <c r="Q268" s="4" t="str">
        <f t="shared" si="213"/>
        <v>1+32,4529883349339i</v>
      </c>
      <c r="R268" s="4">
        <f t="shared" si="224"/>
        <v>32.4683915811571</v>
      </c>
      <c r="S268" s="4">
        <f t="shared" si="225"/>
        <v>1.53999227038438</v>
      </c>
      <c r="T268" s="4" t="str">
        <f t="shared" si="214"/>
        <v>1+0,311548688015366i</v>
      </c>
      <c r="U268" s="4">
        <f t="shared" si="226"/>
        <v>1.04740755439518</v>
      </c>
      <c r="V268" s="4">
        <f t="shared" si="227"/>
        <v>0.302017958114375</v>
      </c>
      <c r="W268" t="str">
        <f t="shared" si="215"/>
        <v>1-0,163423976972346i</v>
      </c>
      <c r="X268" s="4">
        <f t="shared" si="228"/>
        <v>1.01326570861224</v>
      </c>
      <c r="Y268" s="4">
        <f t="shared" si="229"/>
        <v>-0.16199197853858</v>
      </c>
      <c r="Z268" t="str">
        <f t="shared" si="216"/>
        <v>0,999918367346939+0,051282750121438i</v>
      </c>
      <c r="AA268" s="4">
        <f t="shared" si="230"/>
        <v>1.0012325712929</v>
      </c>
      <c r="AB268" s="4">
        <f t="shared" si="231"/>
        <v>0.0512420401158071</v>
      </c>
      <c r="AC268" s="67" t="str">
        <f t="shared" si="232"/>
        <v>0,292116775648612-2,43103745699781i</v>
      </c>
      <c r="AD268" s="68">
        <f t="shared" si="233"/>
        <v>7.77809132499105</v>
      </c>
      <c r="AE268" s="31">
        <f t="shared" si="234"/>
        <v>-83.1481125561923</v>
      </c>
      <c r="AF268" s="32" t="str">
        <f t="shared" si="235"/>
        <v>249,914648392112</v>
      </c>
      <c r="AG268" s="32" t="str">
        <f t="shared" si="217"/>
        <v>1+20,8626353581718i</v>
      </c>
      <c r="AH268" s="32">
        <f t="shared" si="236"/>
        <v>20.8865878996077</v>
      </c>
      <c r="AI268" s="32">
        <f t="shared" si="237"/>
        <v>1.52290040220641</v>
      </c>
      <c r="AJ268" s="32" t="str">
        <f t="shared" si="218"/>
        <v>1+0,311548688015366i</v>
      </c>
      <c r="AK268" s="32">
        <f t="shared" si="238"/>
        <v>1.04740755439518</v>
      </c>
      <c r="AL268" s="32">
        <f t="shared" si="239"/>
        <v>0.302017958114375</v>
      </c>
      <c r="AM268" s="32" t="str">
        <f t="shared" si="219"/>
        <v>1-0,0315279266292328i</v>
      </c>
      <c r="AN268" s="32">
        <f t="shared" si="240"/>
        <v>1.00049688163309</v>
      </c>
      <c r="AO268" s="32">
        <f t="shared" si="241"/>
        <v>-0.0315174864953135</v>
      </c>
      <c r="AP268" s="30" t="str">
        <f t="shared" si="242"/>
        <v>3,92519270858409-11,9085740654376i</v>
      </c>
      <c r="AQ268" s="32">
        <f t="shared" si="243"/>
        <v>21.9651131133923</v>
      </c>
      <c r="AR268" s="31">
        <f t="shared" si="244"/>
        <v>-71.7572302851325</v>
      </c>
      <c r="AS268" t="str">
        <f t="shared" si="220"/>
        <v>-0,000100699300699301</v>
      </c>
      <c r="AT268" t="str">
        <f t="shared" si="221"/>
        <v>0,00446460396664877i</v>
      </c>
      <c r="AU268">
        <f t="shared" si="245"/>
        <v>0.00446460396664877</v>
      </c>
      <c r="AV268">
        <f t="shared" si="246"/>
        <v>1.5707963267949</v>
      </c>
      <c r="AW268" t="str">
        <f t="shared" si="222"/>
        <v>1+0,228579534197445i</v>
      </c>
      <c r="AX268">
        <f t="shared" si="247"/>
        <v>1.0257916959373</v>
      </c>
      <c r="AY268">
        <f t="shared" si="248"/>
        <v>0.224718871575533</v>
      </c>
      <c r="AZ268" t="str">
        <f t="shared" si="223"/>
        <v>1+10,9280470923757i</v>
      </c>
      <c r="BA268">
        <f t="shared" si="249"/>
        <v>10.9737055388406</v>
      </c>
      <c r="BB268">
        <f t="shared" si="250"/>
        <v>1.47954281052954</v>
      </c>
      <c r="BC268" s="30" t="str">
        <f t="shared" si="251"/>
        <v>-0,229343967942575+0,0749783728046456i</v>
      </c>
      <c r="BD268" s="32">
        <f t="shared" si="252"/>
        <v>-12.3492472542739</v>
      </c>
      <c r="BE268" s="31">
        <f t="shared" si="253"/>
        <v>161.896115734046</v>
      </c>
      <c r="BF268" s="30" t="str">
        <f t="shared" si="254"/>
        <v>0,115280012322996+0,579446217111978i</v>
      </c>
      <c r="BG268" s="68">
        <f t="shared" si="255"/>
        <v>-4.57115592928283</v>
      </c>
      <c r="BH268" s="31">
        <f t="shared" si="256"/>
        <v>78.7480031778541</v>
      </c>
      <c r="BI268" s="30" t="str">
        <f t="shared" si="263"/>
        <v>-0,00733376487582416+3,0254641909398i</v>
      </c>
      <c r="BJ268" s="68">
        <f t="shared" si="257"/>
        <v>9.61586585911844</v>
      </c>
      <c r="BK268" s="31">
        <f t="shared" si="264"/>
        <v>90.138885448914</v>
      </c>
      <c r="BL268" s="32">
        <f t="shared" si="258"/>
        <v>-4.57115592928283</v>
      </c>
      <c r="BM268" s="31">
        <f t="shared" si="259"/>
        <v>78.7480031778541</v>
      </c>
      <c r="BO268">
        <f t="shared" si="260"/>
        <v>0</v>
      </c>
      <c r="BP268">
        <f t="shared" si="261"/>
        <v>0</v>
      </c>
    </row>
    <row r="269" spans="14:68">
      <c r="N269" s="7">
        <v>51</v>
      </c>
      <c r="O269" s="18">
        <f t="shared" si="262"/>
        <v>3235.93656929628</v>
      </c>
      <c r="P269" s="86" t="str">
        <f t="shared" si="212"/>
        <v>75</v>
      </c>
      <c r="Q269" s="4" t="str">
        <f t="shared" si="213"/>
        <v>1+33,2089155417069i</v>
      </c>
      <c r="R269" s="4">
        <f t="shared" si="224"/>
        <v>33.2239683279439</v>
      </c>
      <c r="S269" s="4">
        <f t="shared" si="225"/>
        <v>1.54069302784923</v>
      </c>
      <c r="T269" s="4" t="str">
        <f t="shared" si="214"/>
        <v>1+0,318805589200387i</v>
      </c>
      <c r="U269" s="4">
        <f t="shared" si="226"/>
        <v>1.04958896893279</v>
      </c>
      <c r="V269" s="4">
        <f t="shared" si="227"/>
        <v>0.308619105112336</v>
      </c>
      <c r="W269" t="str">
        <f t="shared" si="215"/>
        <v>1-0,167230610406453i</v>
      </c>
      <c r="X269" s="4">
        <f t="shared" si="228"/>
        <v>1.01388661942888</v>
      </c>
      <c r="Y269" s="4">
        <f t="shared" si="229"/>
        <v>-0.165697329202269</v>
      </c>
      <c r="Z269" t="str">
        <f t="shared" si="216"/>
        <v>0,999914520118526+0,0524772788241525i</v>
      </c>
      <c r="AA269" s="4">
        <f t="shared" si="230"/>
        <v>1.00129062331406</v>
      </c>
      <c r="AB269" s="4">
        <f t="shared" si="231"/>
        <v>0.0524336602999145</v>
      </c>
      <c r="AC269" s="67" t="str">
        <f t="shared" si="232"/>
        <v>0,288616750139107-2,38173126614882i</v>
      </c>
      <c r="AD269" s="68">
        <f t="shared" si="233"/>
        <v>7.60116518701099</v>
      </c>
      <c r="AE269" s="31">
        <f t="shared" si="234"/>
        <v>-83.0906209004391</v>
      </c>
      <c r="AF269" s="32" t="str">
        <f t="shared" si="235"/>
        <v>249,914648392112</v>
      </c>
      <c r="AG269" s="32" t="str">
        <f t="shared" si="217"/>
        <v>1+21,3485885625259i</v>
      </c>
      <c r="AH269" s="32">
        <f t="shared" si="236"/>
        <v>21.3719964816582</v>
      </c>
      <c r="AI269" s="32">
        <f t="shared" si="237"/>
        <v>1.52398903633159</v>
      </c>
      <c r="AJ269" s="32" t="str">
        <f t="shared" si="218"/>
        <v>1+0,318805589200387i</v>
      </c>
      <c r="AK269" s="32">
        <f t="shared" si="238"/>
        <v>1.04958896893279</v>
      </c>
      <c r="AL269" s="32">
        <f t="shared" si="239"/>
        <v>0.308619105112336</v>
      </c>
      <c r="AM269" s="32" t="str">
        <f t="shared" si="219"/>
        <v>1-0,0322623063808357i</v>
      </c>
      <c r="AN269" s="32">
        <f t="shared" si="240"/>
        <v>1.00052029285418</v>
      </c>
      <c r="AO269" s="32">
        <f t="shared" si="241"/>
        <v>-0.0322511198899586</v>
      </c>
      <c r="AP269" s="30" t="str">
        <f t="shared" si="242"/>
        <v>3,89981161306198-11,644109823651i</v>
      </c>
      <c r="AQ269" s="32">
        <f t="shared" si="243"/>
        <v>21.7838355526289</v>
      </c>
      <c r="AR269" s="31">
        <f t="shared" si="244"/>
        <v>-71.4834206602335</v>
      </c>
      <c r="AS269" t="str">
        <f t="shared" si="220"/>
        <v>-0,000100699300699301</v>
      </c>
      <c r="AT269" t="str">
        <f t="shared" si="221"/>
        <v>0,00456859795238054i</v>
      </c>
      <c r="AU269">
        <f t="shared" si="245"/>
        <v>0.00456859795238054</v>
      </c>
      <c r="AV269">
        <f t="shared" si="246"/>
        <v>1.5707963267949</v>
      </c>
      <c r="AW269" t="str">
        <f t="shared" si="222"/>
        <v>1+0,233903835523044i</v>
      </c>
      <c r="AX269">
        <f t="shared" si="247"/>
        <v>1.02699123865415</v>
      </c>
      <c r="AY269">
        <f t="shared" si="248"/>
        <v>0.229772910209199</v>
      </c>
      <c r="AZ269" t="str">
        <f t="shared" si="223"/>
        <v>1+11,1825940089421i</v>
      </c>
      <c r="BA269">
        <f t="shared" si="249"/>
        <v>11.2272173208159</v>
      </c>
      <c r="BB269">
        <f t="shared" si="250"/>
        <v>1.48160886952256</v>
      </c>
      <c r="BC269" s="30" t="str">
        <f t="shared" si="251"/>
        <v>-0,228808525748376+0,0755608119261713i</v>
      </c>
      <c r="BD269" s="32">
        <f t="shared" si="252"/>
        <v>-12.3610219112895</v>
      </c>
      <c r="BE269" s="31">
        <f t="shared" si="253"/>
        <v>161.724917111366</v>
      </c>
      <c r="BF269" s="30" t="str">
        <f t="shared" si="254"/>
        <v>0,113927575154536+0,566768535712328i</v>
      </c>
      <c r="BG269" s="68">
        <f t="shared" si="255"/>
        <v>-4.75985672427855</v>
      </c>
      <c r="BH269" s="31">
        <f t="shared" si="256"/>
        <v>78.6342962109271</v>
      </c>
      <c r="BI269" s="30" t="str">
        <f t="shared" si="263"/>
        <v>-0,0124717534485309+2,95894453424384i</v>
      </c>
      <c r="BJ269" s="68">
        <f t="shared" si="257"/>
        <v>9.42281364133936</v>
      </c>
      <c r="BK269" s="31">
        <f t="shared" si="264"/>
        <v>90.2414964511327</v>
      </c>
      <c r="BL269" s="32">
        <f t="shared" si="258"/>
        <v>-4.75985672427855</v>
      </c>
      <c r="BM269" s="31">
        <f t="shared" si="259"/>
        <v>78.6342962109271</v>
      </c>
      <c r="BO269">
        <f t="shared" si="260"/>
        <v>0</v>
      </c>
      <c r="BP269">
        <f t="shared" si="261"/>
        <v>0</v>
      </c>
    </row>
    <row r="270" spans="14:68">
      <c r="N270" s="7">
        <v>52</v>
      </c>
      <c r="O270" s="18">
        <f t="shared" si="262"/>
        <v>3311.31121482591</v>
      </c>
      <c r="P270" s="86" t="str">
        <f t="shared" si="212"/>
        <v>75</v>
      </c>
      <c r="Q270" s="4" t="str">
        <f t="shared" si="213"/>
        <v>1+33,982450555072i</v>
      </c>
      <c r="R270" s="4">
        <f t="shared" si="224"/>
        <v>33.997160848046</v>
      </c>
      <c r="S270" s="4">
        <f t="shared" si="225"/>
        <v>1.5413778627049</v>
      </c>
      <c r="T270" s="4" t="str">
        <f t="shared" si="214"/>
        <v>1+0,326231525328692i</v>
      </c>
      <c r="U270" s="4">
        <f t="shared" si="226"/>
        <v>1.05186834162755</v>
      </c>
      <c r="V270" s="4">
        <f t="shared" si="227"/>
        <v>0.315345368080178</v>
      </c>
      <c r="W270" t="str">
        <f t="shared" si="215"/>
        <v>1-0,171125911723756i</v>
      </c>
      <c r="X270" s="4">
        <f t="shared" si="228"/>
        <v>1.0145363855788</v>
      </c>
      <c r="Y270" s="4">
        <f t="shared" si="229"/>
        <v>-0.169484240014268</v>
      </c>
      <c r="Z270" t="str">
        <f t="shared" si="216"/>
        <v>0,999910491575825+0,0536996316747184i</v>
      </c>
      <c r="AA270" s="4">
        <f t="shared" si="230"/>
        <v>1.00135140765138</v>
      </c>
      <c r="AB270" s="4">
        <f t="shared" si="231"/>
        <v>0.0536528969861136</v>
      </c>
      <c r="AC270" s="67" t="str">
        <f t="shared" si="232"/>
        <v>0,285245454944181-2,33367777583889i</v>
      </c>
      <c r="AD270" s="68">
        <f t="shared" si="233"/>
        <v>7.42522224489146</v>
      </c>
      <c r="AE270" s="31">
        <f t="shared" si="234"/>
        <v>-83.0313036906467</v>
      </c>
      <c r="AF270" s="32" t="str">
        <f t="shared" si="235"/>
        <v>249,914648392112</v>
      </c>
      <c r="AG270" s="32" t="str">
        <f t="shared" si="217"/>
        <v>1+21,8458610711177i</v>
      </c>
      <c r="AH270" s="32">
        <f t="shared" si="236"/>
        <v>21.8687367247991</v>
      </c>
      <c r="AI270" s="32">
        <f t="shared" si="237"/>
        <v>1.52505299741229</v>
      </c>
      <c r="AJ270" s="32" t="str">
        <f t="shared" si="218"/>
        <v>1+0,326231525328692i</v>
      </c>
      <c r="AK270" s="32">
        <f t="shared" si="238"/>
        <v>1.05186834162755</v>
      </c>
      <c r="AL270" s="32">
        <f t="shared" si="239"/>
        <v>0.315345368080178</v>
      </c>
      <c r="AM270" s="32" t="str">
        <f t="shared" si="219"/>
        <v>1-0,0330137920343237i</v>
      </c>
      <c r="AN270" s="32">
        <f t="shared" si="240"/>
        <v>1.000544806825</v>
      </c>
      <c r="AO270" s="32">
        <f t="shared" si="241"/>
        <v>-0.0330018058458677</v>
      </c>
      <c r="AP270" s="30" t="str">
        <f t="shared" si="242"/>
        <v>3,87556796520146-11,3857126208714i</v>
      </c>
      <c r="AQ270" s="32">
        <f t="shared" si="243"/>
        <v>21.6033188525624</v>
      </c>
      <c r="AR270" s="31">
        <f t="shared" si="244"/>
        <v>-71.2020057967846</v>
      </c>
      <c r="AS270" t="str">
        <f t="shared" si="220"/>
        <v>-0,000100699300699301</v>
      </c>
      <c r="AT270" t="str">
        <f t="shared" si="221"/>
        <v>0,00467501426921921i</v>
      </c>
      <c r="AU270">
        <f t="shared" si="245"/>
        <v>0.00467501426921921</v>
      </c>
      <c r="AV270">
        <f t="shared" si="246"/>
        <v>1.5707963267949</v>
      </c>
      <c r="AW270" t="str">
        <f t="shared" si="222"/>
        <v>1+0,239352155758321i</v>
      </c>
      <c r="AX270">
        <f t="shared" si="247"/>
        <v>1.02824581422253</v>
      </c>
      <c r="AY270">
        <f t="shared" si="248"/>
        <v>0.234932329986025</v>
      </c>
      <c r="AZ270" t="str">
        <f t="shared" si="223"/>
        <v>1+11,4430700848712i</v>
      </c>
      <c r="BA270">
        <f t="shared" si="249"/>
        <v>11.4866815472213</v>
      </c>
      <c r="BB270">
        <f t="shared" si="250"/>
        <v>1.48362863723645</v>
      </c>
      <c r="BC270" s="30" t="str">
        <f t="shared" si="251"/>
        <v>-0,228250522086221+0,0761721461382278i</v>
      </c>
      <c r="BD270" s="32">
        <f t="shared" si="252"/>
        <v>-12.3731771080745</v>
      </c>
      <c r="BE270" s="31">
        <f t="shared" si="253"/>
        <v>161.545028299021</v>
      </c>
      <c r="BF270" s="30" t="str">
        <f t="shared" si="254"/>
        <v>0,112653820567003+0,554390929195511i</v>
      </c>
      <c r="BG270" s="68">
        <f t="shared" si="255"/>
        <v>-4.94795486318301</v>
      </c>
      <c r="BH270" s="31">
        <f t="shared" si="256"/>
        <v>78.5137246083739</v>
      </c>
      <c r="BI270" s="30" t="str">
        <f t="shared" si="263"/>
        <v>-0,0173262457929856+2,89400517945153i</v>
      </c>
      <c r="BJ270" s="68">
        <f t="shared" si="257"/>
        <v>9.2301417444879</v>
      </c>
      <c r="BK270" s="31">
        <f t="shared" si="264"/>
        <v>90.343022502236</v>
      </c>
      <c r="BL270" s="32">
        <f t="shared" si="258"/>
        <v>-4.94795486318301</v>
      </c>
      <c r="BM270" s="31">
        <f t="shared" si="259"/>
        <v>78.5137246083739</v>
      </c>
      <c r="BO270">
        <f t="shared" si="260"/>
        <v>0</v>
      </c>
      <c r="BP270">
        <f t="shared" si="261"/>
        <v>0</v>
      </c>
    </row>
    <row r="271" spans="14:68">
      <c r="N271" s="7">
        <v>53</v>
      </c>
      <c r="O271" s="18">
        <f t="shared" si="262"/>
        <v>3388.44156139203</v>
      </c>
      <c r="P271" s="86" t="str">
        <f t="shared" si="212"/>
        <v>75</v>
      </c>
      <c r="Q271" s="4" t="str">
        <f t="shared" si="213"/>
        <v>1+34,7740035135326i</v>
      </c>
      <c r="R271" s="4">
        <f t="shared" si="224"/>
        <v>34.7883790993369</v>
      </c>
      <c r="S271" s="4">
        <f t="shared" si="225"/>
        <v>1.54204713548894</v>
      </c>
      <c r="T271" s="4" t="str">
        <f t="shared" si="214"/>
        <v>1+0,333830433729914i</v>
      </c>
      <c r="U271" s="4">
        <f t="shared" si="226"/>
        <v>1.05424985581422</v>
      </c>
      <c r="V271" s="4">
        <f t="shared" si="227"/>
        <v>0.3221978780143</v>
      </c>
      <c r="W271" t="str">
        <f t="shared" si="215"/>
        <v>1-0,175111946264575i</v>
      </c>
      <c r="X271" s="4">
        <f t="shared" si="228"/>
        <v>1.01521632853524</v>
      </c>
      <c r="Y271" s="4">
        <f t="shared" si="229"/>
        <v>-0.173354284170981</v>
      </c>
      <c r="Z271" t="str">
        <f t="shared" si="216"/>
        <v>0,999906273173755+0,0549504567807973i</v>
      </c>
      <c r="AA271" s="4">
        <f t="shared" si="230"/>
        <v>1.00141505272921</v>
      </c>
      <c r="AB271" s="4">
        <f t="shared" si="231"/>
        <v>0.0549003834763672</v>
      </c>
      <c r="AC271" s="67" t="str">
        <f t="shared" si="232"/>
        <v>0,281995784309922-2,28685197753026i</v>
      </c>
      <c r="AD271" s="68">
        <f t="shared" si="233"/>
        <v>7.25030197346521</v>
      </c>
      <c r="AE271" s="31">
        <f t="shared" si="234"/>
        <v>-82.9702432058185</v>
      </c>
      <c r="AF271" s="32" t="str">
        <f t="shared" si="235"/>
        <v>249,914648392112</v>
      </c>
      <c r="AG271" s="32" t="str">
        <f t="shared" si="217"/>
        <v>1+22,3547165444138i</v>
      </c>
      <c r="AH271" s="32">
        <f t="shared" si="236"/>
        <v>22.3770720109019</v>
      </c>
      <c r="AI271" s="32">
        <f t="shared" si="237"/>
        <v>1.52609283993394</v>
      </c>
      <c r="AJ271" s="32" t="str">
        <f t="shared" si="218"/>
        <v>1+0,333830433729914i</v>
      </c>
      <c r="AK271" s="32">
        <f t="shared" si="238"/>
        <v>1.05424985581422</v>
      </c>
      <c r="AL271" s="32">
        <f t="shared" si="239"/>
        <v>0.3221978780143</v>
      </c>
      <c r="AM271" s="32" t="str">
        <f t="shared" si="219"/>
        <v>1-0,0337827820373379i</v>
      </c>
      <c r="AN271" s="32">
        <f t="shared" si="240"/>
        <v>1.00057047545997</v>
      </c>
      <c r="AO271" s="32">
        <f t="shared" si="241"/>
        <v>-0.0337699390004681</v>
      </c>
      <c r="AP271" s="30" t="str">
        <f t="shared" si="242"/>
        <v>3,85241100035569-11,133252551904i</v>
      </c>
      <c r="AQ271" s="32">
        <f t="shared" si="243"/>
        <v>21.4235937391348</v>
      </c>
      <c r="AR271" s="31">
        <f t="shared" si="244"/>
        <v>-70.9129752741991</v>
      </c>
      <c r="AS271" t="str">
        <f t="shared" si="220"/>
        <v>-0,000100699300699301</v>
      </c>
      <c r="AT271" t="str">
        <f t="shared" si="221"/>
        <v>0,00478390934050456i</v>
      </c>
      <c r="AU271">
        <f t="shared" si="245"/>
        <v>0.00478390934050456</v>
      </c>
      <c r="AV271">
        <f t="shared" si="246"/>
        <v>1.5707963267949</v>
      </c>
      <c r="AW271" t="str">
        <f t="shared" si="222"/>
        <v>1+0,244927383674783i</v>
      </c>
      <c r="AX271">
        <f t="shared" si="247"/>
        <v>1.02955787757356</v>
      </c>
      <c r="AY271">
        <f t="shared" si="248"/>
        <v>0.240198767279762</v>
      </c>
      <c r="AZ271" t="str">
        <f t="shared" si="223"/>
        <v>1+11,7096134280263i</v>
      </c>
      <c r="BA271">
        <f t="shared" si="249"/>
        <v>11.7522358142531</v>
      </c>
      <c r="BB271">
        <f t="shared" si="250"/>
        <v>1.48560311862576</v>
      </c>
      <c r="BC271" s="30" t="str">
        <f t="shared" si="251"/>
        <v>-0,227669130162468+0,0768119882244642i</v>
      </c>
      <c r="BD271" s="32">
        <f t="shared" si="252"/>
        <v>-12.3857350973421</v>
      </c>
      <c r="BE271" s="31">
        <f t="shared" si="253"/>
        <v>161.356413119354</v>
      </c>
      <c r="BF271" s="30" t="str">
        <f t="shared" si="254"/>
        <v>0,111455912245824+0,542306257398396i</v>
      </c>
      <c r="BG271" s="68">
        <f t="shared" si="255"/>
        <v>-5.13543312387689</v>
      </c>
      <c r="BH271" s="31">
        <f t="shared" si="256"/>
        <v>78.3861699135351</v>
      </c>
      <c r="BI271" s="30" t="str">
        <f t="shared" si="263"/>
        <v>-0,0219077975624672+2,83060927276618i</v>
      </c>
      <c r="BJ271" s="68">
        <f t="shared" si="257"/>
        <v>9.03785864179271</v>
      </c>
      <c r="BK271" s="31">
        <f t="shared" si="264"/>
        <v>90.4434378451545</v>
      </c>
      <c r="BL271" s="32">
        <f t="shared" si="258"/>
        <v>-5.13543312387689</v>
      </c>
      <c r="BM271" s="31">
        <f t="shared" si="259"/>
        <v>78.3861699135351</v>
      </c>
      <c r="BO271">
        <f t="shared" si="260"/>
        <v>0</v>
      </c>
      <c r="BP271">
        <f t="shared" si="261"/>
        <v>0</v>
      </c>
    </row>
    <row r="272" spans="14:68">
      <c r="N272" s="7">
        <v>54</v>
      </c>
      <c r="O272" s="18">
        <f t="shared" si="262"/>
        <v>3467.36850452532</v>
      </c>
      <c r="P272" s="86" t="str">
        <f t="shared" si="212"/>
        <v>75</v>
      </c>
      <c r="Q272" s="4" t="str">
        <f t="shared" si="213"/>
        <v>1+35,5839941089441i</v>
      </c>
      <c r="R272" s="4">
        <f t="shared" si="224"/>
        <v>35.5980425971059</v>
      </c>
      <c r="S272" s="4">
        <f t="shared" si="225"/>
        <v>1.54270119865898</v>
      </c>
      <c r="T272" s="4" t="str">
        <f t="shared" si="214"/>
        <v>1+0,341606343445864i</v>
      </c>
      <c r="U272" s="4">
        <f t="shared" si="226"/>
        <v>1.05673785485448</v>
      </c>
      <c r="V272" s="4">
        <f t="shared" si="227"/>
        <v>0.329177693151505</v>
      </c>
      <c r="W272" t="str">
        <f t="shared" si="215"/>
        <v>1-0,179190827477183i</v>
      </c>
      <c r="X272" s="4">
        <f t="shared" si="228"/>
        <v>1.01592782846616</v>
      </c>
      <c r="Y272" s="4">
        <f t="shared" si="229"/>
        <v>-0.177309049688705</v>
      </c>
      <c r="Z272" t="str">
        <f t="shared" si="216"/>
        <v>0,999901855964521+0,0562304173464161i</v>
      </c>
      <c r="AA272" s="4">
        <f t="shared" si="230"/>
        <v>1.00148169299106</v>
      </c>
      <c r="AB272" s="4">
        <f t="shared" si="231"/>
        <v>0.056176767115581</v>
      </c>
      <c r="AC272" s="67" t="str">
        <f t="shared" si="232"/>
        <v>0,27886088849399-2,24122946782219i</v>
      </c>
      <c r="AD272" s="68">
        <f t="shared" si="233"/>
        <v>7.07644504139748</v>
      </c>
      <c r="AE272" s="31">
        <f t="shared" si="234"/>
        <v>-82.9075270845495</v>
      </c>
      <c r="AF272" s="32" t="str">
        <f t="shared" si="235"/>
        <v>249,914648392112</v>
      </c>
      <c r="AG272" s="32" t="str">
        <f t="shared" si="217"/>
        <v>1+22,8754247843212i</v>
      </c>
      <c r="AH272" s="32">
        <f t="shared" si="236"/>
        <v>22.8972718694419</v>
      </c>
      <c r="AI272" s="32">
        <f t="shared" si="237"/>
        <v>1.52710910623485</v>
      </c>
      <c r="AJ272" s="32" t="str">
        <f t="shared" si="218"/>
        <v>1+0,341606343445864i</v>
      </c>
      <c r="AK272" s="32">
        <f t="shared" si="238"/>
        <v>1.05673785485448</v>
      </c>
      <c r="AL272" s="32">
        <f t="shared" si="239"/>
        <v>0.329177693151505</v>
      </c>
      <c r="AM272" s="32" t="str">
        <f t="shared" si="219"/>
        <v>1-0,0345696841185558i</v>
      </c>
      <c r="AN272" s="32">
        <f t="shared" si="240"/>
        <v>1.00059735311466</v>
      </c>
      <c r="AO272" s="32">
        <f t="shared" si="241"/>
        <v>-0.0345559230002888</v>
      </c>
      <c r="AP272" s="30" t="str">
        <f t="shared" si="242"/>
        <v>3,83029220109189-10,8866023887766i</v>
      </c>
      <c r="AQ272" s="32">
        <f t="shared" si="243"/>
        <v>21.2446917310675</v>
      </c>
      <c r="AR272" s="31">
        <f t="shared" si="244"/>
        <v>-70.6163226609141</v>
      </c>
      <c r="AS272" t="str">
        <f t="shared" si="220"/>
        <v>-0,000100699300699301</v>
      </c>
      <c r="AT272" t="str">
        <f t="shared" si="221"/>
        <v>0,00489534090384475i</v>
      </c>
      <c r="AU272">
        <f t="shared" si="245"/>
        <v>0.00489534090384475</v>
      </c>
      <c r="AV272">
        <f t="shared" si="246"/>
        <v>1.5707963267949</v>
      </c>
      <c r="AW272" t="str">
        <f t="shared" si="222"/>
        <v>1+0,250632475332064i</v>
      </c>
      <c r="AX272">
        <f t="shared" si="247"/>
        <v>1.0309299868037</v>
      </c>
      <c r="AY272">
        <f t="shared" si="248"/>
        <v>0.245573845383671</v>
      </c>
      <c r="AZ272" t="str">
        <f t="shared" si="223"/>
        <v>1+11,9823653632159i</v>
      </c>
      <c r="BA272">
        <f t="shared" si="249"/>
        <v>12.0240209454906</v>
      </c>
      <c r="BB272">
        <f t="shared" si="250"/>
        <v>1.48753329897113</v>
      </c>
      <c r="BC272" s="30" t="str">
        <f t="shared" si="251"/>
        <v>-0,227063504107754+0,0774799248966553i</v>
      </c>
      <c r="BD272" s="32">
        <f t="shared" si="252"/>
        <v>-12.3987186846282</v>
      </c>
      <c r="BE272" s="31">
        <f t="shared" si="253"/>
        <v>161.159035016935</v>
      </c>
      <c r="BF272" s="30" t="str">
        <f t="shared" si="254"/>
        <v>0,110331160342987+0,530507537170392i</v>
      </c>
      <c r="BG272" s="68">
        <f t="shared" si="255"/>
        <v>-5.32227364323075</v>
      </c>
      <c r="BH272" s="31">
        <f t="shared" si="256"/>
        <v>78.251507932386</v>
      </c>
      <c r="BI272" s="30" t="str">
        <f t="shared" si="263"/>
        <v>-0,0262264334743674+2,7687208382963i</v>
      </c>
      <c r="BJ272" s="68">
        <f t="shared" si="257"/>
        <v>8.84597304643927</v>
      </c>
      <c r="BK272" s="31">
        <f t="shared" si="264"/>
        <v>90.5427123560214</v>
      </c>
      <c r="BL272" s="32">
        <f t="shared" si="258"/>
        <v>-5.32227364323075</v>
      </c>
      <c r="BM272" s="31">
        <f t="shared" si="259"/>
        <v>78.251507932386</v>
      </c>
      <c r="BO272">
        <f t="shared" si="260"/>
        <v>0</v>
      </c>
      <c r="BP272">
        <f t="shared" si="261"/>
        <v>0</v>
      </c>
    </row>
    <row r="273" spans="14:68">
      <c r="N273" s="7">
        <v>55</v>
      </c>
      <c r="O273" s="18">
        <f t="shared" si="262"/>
        <v>3548.13389233575</v>
      </c>
      <c r="P273" s="86" t="str">
        <f t="shared" si="212"/>
        <v>75</v>
      </c>
      <c r="Q273" s="4" t="str">
        <f t="shared" si="213"/>
        <v>1+36,4128518090422i</v>
      </c>
      <c r="R273" s="4">
        <f t="shared" si="224"/>
        <v>36.4265806364977</v>
      </c>
      <c r="S273" s="4">
        <f t="shared" si="225"/>
        <v>1.54334039676824</v>
      </c>
      <c r="T273" s="4" t="str">
        <f t="shared" si="214"/>
        <v>1+0,349563377366805i</v>
      </c>
      <c r="U273" s="4">
        <f t="shared" si="226"/>
        <v>1.05933684670934</v>
      </c>
      <c r="V273" s="4">
        <f t="shared" si="227"/>
        <v>0.336285793051436</v>
      </c>
      <c r="W273" t="str">
        <f t="shared" si="215"/>
        <v>1-0,183364718038391i</v>
      </c>
      <c r="X273" s="4">
        <f t="shared" si="228"/>
        <v>1.01667232667231</v>
      </c>
      <c r="Y273" s="4">
        <f t="shared" si="229"/>
        <v>-0.181350138365268</v>
      </c>
      <c r="Z273" t="str">
        <f t="shared" si="216"/>
        <v>0,999897230578629+0,0575401920236097i</v>
      </c>
      <c r="AA273" s="4">
        <f t="shared" si="230"/>
        <v>1.00155146918015</v>
      </c>
      <c r="AB273" s="4">
        <f t="shared" si="231"/>
        <v>0.0574827095685711</v>
      </c>
      <c r="AC273" s="67" t="str">
        <f t="shared" si="232"/>
        <v>0,275834159600967-2,19678643753096i</v>
      </c>
      <c r="AD273" s="68">
        <f t="shared" si="233"/>
        <v>6.90369332130826</v>
      </c>
      <c r="AE273" s="31">
        <f t="shared" si="234"/>
        <v>-82.8432486305079</v>
      </c>
      <c r="AF273" s="32" t="str">
        <f t="shared" si="235"/>
        <v>249,914648392112</v>
      </c>
      <c r="AG273" s="32" t="str">
        <f t="shared" si="217"/>
        <v>1+23,4082618772414i</v>
      </c>
      <c r="AH273" s="32">
        <f t="shared" si="236"/>
        <v>23.4296121204239</v>
      </c>
      <c r="AI273" s="32">
        <f t="shared" si="237"/>
        <v>1.52810232675133</v>
      </c>
      <c r="AJ273" s="32" t="str">
        <f t="shared" si="218"/>
        <v>1+0,349563377366805i</v>
      </c>
      <c r="AK273" s="32">
        <f t="shared" si="238"/>
        <v>1.05933684670934</v>
      </c>
      <c r="AL273" s="32">
        <f t="shared" si="239"/>
        <v>0.336285793051436</v>
      </c>
      <c r="AM273" s="32" t="str">
        <f t="shared" si="219"/>
        <v>1-0,0353749155038774i</v>
      </c>
      <c r="AN273" s="32">
        <f t="shared" si="240"/>
        <v>1.00062549670039</v>
      </c>
      <c r="AO273" s="32">
        <f t="shared" si="241"/>
        <v>-0.0353601706977671</v>
      </c>
      <c r="AP273" s="30" t="str">
        <f t="shared" si="242"/>
        <v>3,809165199334-10,6456375443528i</v>
      </c>
      <c r="AQ273" s="32">
        <f t="shared" si="243"/>
        <v>21.0666451385675</v>
      </c>
      <c r="AR273" s="31">
        <f t="shared" si="244"/>
        <v>-70.3120458787591</v>
      </c>
      <c r="AS273" t="str">
        <f t="shared" si="220"/>
        <v>-0,000100699300699301</v>
      </c>
      <c r="AT273" t="str">
        <f t="shared" si="221"/>
        <v>0,00500936804172966i</v>
      </c>
      <c r="AU273">
        <f t="shared" si="245"/>
        <v>0.00500936804172966</v>
      </c>
      <c r="AV273">
        <f t="shared" si="246"/>
        <v>1.5707963267949</v>
      </c>
      <c r="AW273" t="str">
        <f t="shared" si="222"/>
        <v>1+0,25647045564528i</v>
      </c>
      <c r="AX273">
        <f t="shared" si="247"/>
        <v>1.03236480694515</v>
      </c>
      <c r="AY273">
        <f t="shared" si="248"/>
        <v>0.251059171350155</v>
      </c>
      <c r="AZ273" t="str">
        <f t="shared" si="223"/>
        <v>1+12,2614705071264i</v>
      </c>
      <c r="BA273">
        <f t="shared" si="249"/>
        <v>12.3021810666699</v>
      </c>
      <c r="BB273">
        <f t="shared" si="250"/>
        <v>1.48942014411918</v>
      </c>
      <c r="BC273" s="30" t="str">
        <f t="shared" si="251"/>
        <v>-0,226432779608994+0,0781755146560785i</v>
      </c>
      <c r="BD273" s="32">
        <f t="shared" si="252"/>
        <v>-12.4121512497898</v>
      </c>
      <c r="BE273" s="31">
        <f t="shared" si="253"/>
        <v>160.95285725338</v>
      </c>
      <c r="BF273" s="30" t="str">
        <f t="shared" si="254"/>
        <v>0,109277014873918+0,518987936644007i</v>
      </c>
      <c r="BG273" s="68">
        <f t="shared" si="255"/>
        <v>-5.50845792848158</v>
      </c>
      <c r="BH273" s="31">
        <f t="shared" si="256"/>
        <v>78.1096086228722</v>
      </c>
      <c r="BI273" s="30" t="str">
        <f t="shared" si="263"/>
        <v>-0,0302916702031935+2,70830474974563i</v>
      </c>
      <c r="BJ273" s="68">
        <f t="shared" si="257"/>
        <v>8.65449388877772</v>
      </c>
      <c r="BK273" s="31">
        <f t="shared" si="264"/>
        <v>90.640811374621</v>
      </c>
      <c r="BL273" s="32">
        <f t="shared" si="258"/>
        <v>-5.50845792848158</v>
      </c>
      <c r="BM273" s="31">
        <f t="shared" si="259"/>
        <v>78.1096086228722</v>
      </c>
      <c r="BO273">
        <f t="shared" si="260"/>
        <v>0</v>
      </c>
      <c r="BP273">
        <f t="shared" si="261"/>
        <v>0</v>
      </c>
    </row>
    <row r="274" spans="14:68">
      <c r="N274" s="7">
        <v>56</v>
      </c>
      <c r="O274" s="18">
        <f t="shared" si="262"/>
        <v>3630.78054770102</v>
      </c>
      <c r="P274" s="86" t="str">
        <f t="shared" si="212"/>
        <v>75</v>
      </c>
      <c r="Q274" s="4" t="str">
        <f t="shared" si="213"/>
        <v>1+37,2610160851505i</v>
      </c>
      <c r="R274" s="4">
        <f t="shared" si="224"/>
        <v>37.2744325201316</v>
      </c>
      <c r="S274" s="4">
        <f t="shared" si="225"/>
        <v>1.54396506663754</v>
      </c>
      <c r="T274" s="4" t="str">
        <f t="shared" si="214"/>
        <v>1+0,357705754417445i</v>
      </c>
      <c r="U274" s="4">
        <f t="shared" si="226"/>
        <v>1.06205150851706</v>
      </c>
      <c r="V274" s="4">
        <f t="shared" si="227"/>
        <v>0.343523072499667</v>
      </c>
      <c r="W274" t="str">
        <f t="shared" si="215"/>
        <v>1-0,187635831000222i</v>
      </c>
      <c r="X274" s="4">
        <f t="shared" si="228"/>
        <v>1.01745132811115</v>
      </c>
      <c r="Y274" s="4">
        <f t="shared" si="229"/>
        <v>-0.185479164638534</v>
      </c>
      <c r="Z274" t="str">
        <f t="shared" si="216"/>
        <v>0,999892387205016+0,0588804752722489i</v>
      </c>
      <c r="AA274" s="4">
        <f t="shared" si="230"/>
        <v>1.00162452863278</v>
      </c>
      <c r="AB274" s="4">
        <f t="shared" si="231"/>
        <v>0.0588188870999557</v>
      </c>
      <c r="AC274" s="67" t="str">
        <f t="shared" si="232"/>
        <v>0,272909217917019-2,15349966087987i</v>
      </c>
      <c r="AD274" s="68">
        <f t="shared" si="233"/>
        <v>6.73208989730589</v>
      </c>
      <c r="AE274" s="31">
        <f t="shared" si="234"/>
        <v>-82.7775071222527</v>
      </c>
      <c r="AF274" s="32" t="str">
        <f t="shared" si="235"/>
        <v>249,914648392112</v>
      </c>
      <c r="AG274" s="32" t="str">
        <f t="shared" si="217"/>
        <v>1+23,9535103404539i</v>
      </c>
      <c r="AH274" s="32">
        <f t="shared" si="236"/>
        <v>23.9743750206388</v>
      </c>
      <c r="AI274" s="32">
        <f t="shared" si="237"/>
        <v>1.52907302025917</v>
      </c>
      <c r="AJ274" s="32" t="str">
        <f t="shared" si="218"/>
        <v>1+0,357705754417445i</v>
      </c>
      <c r="AK274" s="32">
        <f t="shared" si="238"/>
        <v>1.06205150851706</v>
      </c>
      <c r="AL274" s="32">
        <f t="shared" si="239"/>
        <v>0.343523072499667</v>
      </c>
      <c r="AM274" s="32" t="str">
        <f t="shared" si="219"/>
        <v>1-0,0361989031376417i</v>
      </c>
      <c r="AN274" s="32">
        <f t="shared" si="240"/>
        <v>1.00065496580408</v>
      </c>
      <c r="AO274" s="32">
        <f t="shared" si="241"/>
        <v>-0.0361831043517087</v>
      </c>
      <c r="AP274" s="30" t="str">
        <f t="shared" si="242"/>
        <v>3,7889856826237-10,4102360353116i</v>
      </c>
      <c r="AQ274" s="32">
        <f t="shared" si="243"/>
        <v>20.8894870592759</v>
      </c>
      <c r="AR274" s="31">
        <f t="shared" si="244"/>
        <v>-70.000147577609</v>
      </c>
      <c r="AS274" t="str">
        <f t="shared" si="220"/>
        <v>-0,000100699300699301</v>
      </c>
      <c r="AT274" t="str">
        <f t="shared" si="221"/>
        <v>0,00512605121285714i</v>
      </c>
      <c r="AU274">
        <f t="shared" si="245"/>
        <v>0.00512605121285714</v>
      </c>
      <c r="AV274">
        <f t="shared" si="246"/>
        <v>1.5707963267949</v>
      </c>
      <c r="AW274" t="str">
        <f t="shared" si="222"/>
        <v>1+0,262444419988867i</v>
      </c>
      <c r="AX274">
        <f t="shared" si="247"/>
        <v>1.03386511382447</v>
      </c>
      <c r="AY274">
        <f t="shared" si="248"/>
        <v>0.256656332636836</v>
      </c>
      <c r="AZ274" t="str">
        <f t="shared" si="223"/>
        <v>1+12,5470768449997i</v>
      </c>
      <c r="BA274">
        <f t="shared" si="249"/>
        <v>12.5868636822017</v>
      </c>
      <c r="BB274">
        <f t="shared" si="250"/>
        <v>1.49126460073012</v>
      </c>
      <c r="BC274" s="30" t="str">
        <f t="shared" si="251"/>
        <v>-0,22577607466978+0,0788982856036477i</v>
      </c>
      <c r="BD274" s="32">
        <f t="shared" si="252"/>
        <v>-12.4260567676912</v>
      </c>
      <c r="BE274" s="31">
        <f t="shared" si="253"/>
        <v>160.737843113702</v>
      </c>
      <c r="BF274" s="30" t="str">
        <f t="shared" si="254"/>
        <v>0,108291059328954+0,507740769655245i</v>
      </c>
      <c r="BG274" s="68">
        <f t="shared" si="255"/>
        <v>-5.69396687038528</v>
      </c>
      <c r="BH274" s="31">
        <f t="shared" si="256"/>
        <v>77.9603359914488</v>
      </c>
      <c r="BI274" s="30" t="str">
        <f t="shared" si="263"/>
        <v>-0,0341125384873762+2,64932670297432i</v>
      </c>
      <c r="BJ274" s="68">
        <f t="shared" si="257"/>
        <v>8.46343029158473</v>
      </c>
      <c r="BK274" s="31">
        <f t="shared" si="264"/>
        <v>90.7376955360925</v>
      </c>
      <c r="BL274" s="32">
        <f t="shared" si="258"/>
        <v>-5.69396687038528</v>
      </c>
      <c r="BM274" s="31">
        <f t="shared" si="259"/>
        <v>77.9603359914488</v>
      </c>
      <c r="BO274">
        <f t="shared" si="260"/>
        <v>0</v>
      </c>
      <c r="BP274">
        <f t="shared" si="261"/>
        <v>0</v>
      </c>
    </row>
    <row r="275" spans="14:68">
      <c r="N275" s="7">
        <v>57</v>
      </c>
      <c r="O275" s="18">
        <f t="shared" si="262"/>
        <v>3715.35229097172</v>
      </c>
      <c r="P275" s="86" t="str">
        <f t="shared" ref="P275:P338" si="265">COMPLEX(Adc,0)</f>
        <v>75</v>
      </c>
      <c r="Q275" s="4" t="str">
        <f t="shared" ref="Q275:Q338" si="266">IMSUM(COMPLEX(1,0),IMDIV(COMPLEX(0,2*PI()*O275),COMPLEX(wp_lf,0)))</f>
        <v>1+38,1289366451948i</v>
      </c>
      <c r="R275" s="4">
        <f t="shared" si="224"/>
        <v>38.1420477910308</v>
      </c>
      <c r="S275" s="4">
        <f t="shared" si="225"/>
        <v>1.54457553752397</v>
      </c>
      <c r="T275" s="4" t="str">
        <f t="shared" ref="T275:T338" si="267">IMSUM(COMPLEX(1,0),IMDIV(COMPLEX(0,2*PI()*O275),COMPLEX(wz_esr,0)))</f>
        <v>1+0,366037791793871i</v>
      </c>
      <c r="U275" s="4">
        <f t="shared" si="226"/>
        <v>1.06488669116547</v>
      </c>
      <c r="V275" s="4">
        <f t="shared" si="227"/>
        <v>0.350890335243878</v>
      </c>
      <c r="W275" t="str">
        <f t="shared" ref="W275:W338" si="268">IMSUB(COMPLEX(1,0),IMDIV(COMPLEX(0,2*PI()*O275),COMPLEX(wz_rhp,0)))</f>
        <v>1-0,192006430963303i</v>
      </c>
      <c r="X275" s="4">
        <f t="shared" si="228"/>
        <v>1.01826640400794</v>
      </c>
      <c r="Y275" s="4">
        <f t="shared" si="229"/>
        <v>-0.189697754335938</v>
      </c>
      <c r="Z275" t="str">
        <f t="shared" ref="Z275:Z338" si="269">IMSUM(COMPLEX(1,0),IMDIV(COMPLEX(0,2*PI()*O275),COMPLEX(Q*(wsl/2),0)),IMDIV(IMPOWER(COMPLEX(0,2*PI()*O275),2),IMPOWER(COMPLEX(wsl/2,0),2)))</f>
        <v>0,999887315570236+0,0602519777282523i</v>
      </c>
      <c r="AA275" s="4">
        <f t="shared" si="230"/>
        <v>1.00170102558519</v>
      </c>
      <c r="AB275" s="4">
        <f t="shared" si="231"/>
        <v>0.0601859908568053</v>
      </c>
      <c r="AC275" s="67" t="str">
        <f t="shared" si="232"/>
        <v>0,270079898717804-2,1113464848018i</v>
      </c>
      <c r="AD275" s="68">
        <f t="shared" si="233"/>
        <v>6.56167906969852</v>
      </c>
      <c r="AE275" s="31">
        <f t="shared" si="234"/>
        <v>-82.7104081263357</v>
      </c>
      <c r="AF275" s="32" t="str">
        <f t="shared" si="235"/>
        <v>249,914648392112</v>
      </c>
      <c r="AG275" s="32" t="str">
        <f t="shared" ref="AG275:AG338" si="270">IMSUM(COMPLEX(1,0),IMDIV(COMPLEX(0,2*PI()*O275),COMPLEX(wp_lf_DCM,0)))</f>
        <v>1+24,511459271911i</v>
      </c>
      <c r="AH275" s="32">
        <f t="shared" si="236"/>
        <v>24.5318494133351</v>
      </c>
      <c r="AI275" s="32">
        <f t="shared" si="237"/>
        <v>1.5300216941117</v>
      </c>
      <c r="AJ275" s="32" t="str">
        <f t="shared" ref="AJ275:AJ338" si="271">IMSUM(COMPLEX(1,0),IMDIV(COMPLEX(0,2*PI()*O275),COMPLEX(wz1_dcm,0)))</f>
        <v>1+0,366037791793871i</v>
      </c>
      <c r="AK275" s="32">
        <f t="shared" si="238"/>
        <v>1.06488669116547</v>
      </c>
      <c r="AL275" s="32">
        <f t="shared" si="239"/>
        <v>0.350890335243878</v>
      </c>
      <c r="AM275" s="32" t="str">
        <f t="shared" ref="AM275:AM338" si="272">IMSUB(COMPLEX(1,0),IMDIV(COMPLEX(0,2*PI()*O275),COMPLEX(wz2_dcm,0)))</f>
        <v>1-0,0370420839089984i</v>
      </c>
      <c r="AN275" s="32">
        <f t="shared" si="240"/>
        <v>1.00068582281369</v>
      </c>
      <c r="AO275" s="32">
        <f t="shared" si="241"/>
        <v>-0.0370251558314273</v>
      </c>
      <c r="AP275" s="30" t="str">
        <f t="shared" si="242"/>
        <v>3,76971130433878-10,1802784446007i</v>
      </c>
      <c r="AQ275" s="32">
        <f t="shared" si="243"/>
        <v>20.7132513712542</v>
      </c>
      <c r="AR275" s="31">
        <f t="shared" si="244"/>
        <v>-69.6806355196066</v>
      </c>
      <c r="AS275" t="str">
        <f t="shared" ref="AS275:AS338" si="273">COMPLEX(Adc_ea,0)</f>
        <v>-0,000100699300699301</v>
      </c>
      <c r="AT275" t="str">
        <f t="shared" ref="AT275:AT338" si="274">COMPLEX(0,2*PI()*O275*wp0_ea)</f>
        <v>0,00524545228418895i</v>
      </c>
      <c r="AU275">
        <f t="shared" si="245"/>
        <v>0.00524545228418895</v>
      </c>
      <c r="AV275">
        <f t="shared" si="246"/>
        <v>1.5707963267949</v>
      </c>
      <c r="AW275" t="str">
        <f t="shared" ref="AW275:AW338" si="275">IMSUM(COMPLEX(1,0),IMDIV(COMPLEX(0,2*PI()*O275),COMPLEX(wp1_ea,0)))</f>
        <v>1+0,268557535837794i</v>
      </c>
      <c r="AX275">
        <f t="shared" si="247"/>
        <v>1.03543379800703</v>
      </c>
      <c r="AY275">
        <f t="shared" si="248"/>
        <v>0.262366893554157</v>
      </c>
      <c r="AZ275" t="str">
        <f t="shared" ref="AZ275:AZ338" si="276">IMSUM(COMPLEX(1,0),IMDIV(COMPLEX(0,2*PI()*O275),COMPLEX(wz_ea,0)))</f>
        <v>1+12,8393358090962i</v>
      </c>
      <c r="BA275">
        <f t="shared" si="249"/>
        <v>12.8782197534729</v>
      </c>
      <c r="BB275">
        <f t="shared" si="250"/>
        <v>1.49306759653226</v>
      </c>
      <c r="BC275" s="30" t="str">
        <f t="shared" si="251"/>
        <v>-0,225092490508871+0,0796477332037798i</v>
      </c>
      <c r="BD275" s="32">
        <f t="shared" si="252"/>
        <v>-12.4404598279774</v>
      </c>
      <c r="BE275" s="31">
        <f t="shared" si="253"/>
        <v>160.513956124429</v>
      </c>
      <c r="BF275" s="30" t="str">
        <f t="shared" si="254"/>
        <v>0,107371004483458+0,496759490307967i</v>
      </c>
      <c r="BG275" s="68">
        <f t="shared" si="255"/>
        <v>-5.87878075827886</v>
      </c>
      <c r="BH275" s="31">
        <f t="shared" si="256"/>
        <v>77.803547998093</v>
      </c>
      <c r="BI275" s="30" t="str">
        <f t="shared" si="263"/>
        <v>-0,0376976044973136+2,59175318939219i</v>
      </c>
      <c r="BJ275" s="68">
        <f t="shared" si="257"/>
        <v>8.27279154327683</v>
      </c>
      <c r="BK275" s="31">
        <f t="shared" si="264"/>
        <v>90.8333206048222</v>
      </c>
      <c r="BL275" s="32">
        <f t="shared" si="258"/>
        <v>-5.87878075827886</v>
      </c>
      <c r="BM275" s="31">
        <f t="shared" si="259"/>
        <v>77.803547998093</v>
      </c>
      <c r="BO275">
        <f t="shared" si="260"/>
        <v>0</v>
      </c>
      <c r="BP275">
        <f t="shared" si="261"/>
        <v>0</v>
      </c>
    </row>
    <row r="276" spans="14:68">
      <c r="N276" s="7">
        <v>58</v>
      </c>
      <c r="O276" s="18">
        <f t="shared" si="262"/>
        <v>3801.89396320562</v>
      </c>
      <c r="P276" s="86" t="str">
        <f t="shared" si="265"/>
        <v>75</v>
      </c>
      <c r="Q276" s="4" t="str">
        <f t="shared" si="266"/>
        <v>1+39,0170736721449i</v>
      </c>
      <c r="R276" s="4">
        <f t="shared" ref="R276:R339" si="277">IMABS(Q276)</f>
        <v>39.0298864709799</v>
      </c>
      <c r="S276" s="4">
        <f t="shared" ref="S276:S339" si="278">IMARGUMENT(Q276)</f>
        <v>1.54517213128616</v>
      </c>
      <c r="T276" s="4" t="str">
        <f t="shared" si="267"/>
        <v>1+0,374563907252591i</v>
      </c>
      <c r="U276" s="4">
        <f t="shared" ref="U276:U339" si="279">IMABS(T276)</f>
        <v>1.06784742384684</v>
      </c>
      <c r="V276" s="4">
        <f t="shared" ref="V276:V339" si="280">IMARGUMENT(T276)</f>
        <v>0.358388287577729</v>
      </c>
      <c r="W276" t="str">
        <f t="shared" si="268"/>
        <v>1-0,196478835277587i</v>
      </c>
      <c r="X276" s="4">
        <f t="shared" ref="X276:X339" si="281">IMABS(W276)</f>
        <v>1.01911919455579</v>
      </c>
      <c r="Y276" s="4">
        <f t="shared" ref="Y276:Y339" si="282">IMARGUMENT(W276)</f>
        <v>-0.194007543308995</v>
      </c>
      <c r="Z276" t="str">
        <f t="shared" si="269"/>
        <v>0,999882004916674+0,0616554265803769i</v>
      </c>
      <c r="AA276" s="4">
        <f t="shared" ref="AA276:AA339" si="283">IMABS(Z276)</f>
        <v>1.00178112149461</v>
      </c>
      <c r="AB276" s="4">
        <f t="shared" ref="AB276:AB339" si="284">IMARGUMENT(Z276)</f>
        <v>0.061584727153852</v>
      </c>
      <c r="AC276" s="67" t="str">
        <f t="shared" ref="AC276:AC339" si="285">(IMDIV(IMPRODUCT(P276,T276,W276),IMPRODUCT(Q276,Z276)))</f>
        <v>0,267340239524447-2,07030481835637i</v>
      </c>
      <c r="AD276" s="68">
        <f t="shared" ref="AD276:AD339" si="286">20*LOG(IMABS(AC276))</f>
        <v>6.39250635664535</v>
      </c>
      <c r="AE276" s="31">
        <f t="shared" ref="AE276:AE339" si="287">(180/PI())*IMARGUMENT(AC276)</f>
        <v>-82.6420638124941</v>
      </c>
      <c r="AF276" s="32" t="str">
        <f t="shared" ref="AF276:AF339" si="288">COMPLEX($B$68,0)</f>
        <v>249,914648392112</v>
      </c>
      <c r="AG276" s="32" t="str">
        <f t="shared" si="270"/>
        <v>1+25,0824045035217i</v>
      </c>
      <c r="AH276" s="32">
        <f t="shared" ref="AH276:AH339" si="289">IMABS(AG276)</f>
        <v>25.10233088138</v>
      </c>
      <c r="AI276" s="32">
        <f t="shared" ref="AI276:AI339" si="290">IMARGUMENT(AG276)</f>
        <v>1.53094884447414</v>
      </c>
      <c r="AJ276" s="32" t="str">
        <f t="shared" si="271"/>
        <v>1+0,374563907252591i</v>
      </c>
      <c r="AK276" s="32">
        <f t="shared" ref="AK276:AK339" si="291">IMABS(AJ276)</f>
        <v>1.06784742384684</v>
      </c>
      <c r="AL276" s="32">
        <f t="shared" ref="AL276:AL339" si="292">IMARGUMENT(AJ276)</f>
        <v>0.358388287577729</v>
      </c>
      <c r="AM276" s="32" t="str">
        <f t="shared" si="272"/>
        <v>1-0,0379049048835539i</v>
      </c>
      <c r="AN276" s="32">
        <f t="shared" ref="AN276:AN339" si="293">IMABS(AM276)</f>
        <v>1.00071813304958</v>
      </c>
      <c r="AO276" s="32">
        <f t="shared" ref="AO276:AO339" si="294">IMARGUMENT(AM276)</f>
        <v>-0.0378867668245793</v>
      </c>
      <c r="AP276" s="30" t="str">
        <f t="shared" ref="AP276:AP339" si="295">(IMDIV(IMPRODUCT(AF276,AJ276,AM276),IMPRODUCT(AG276)))</f>
        <v>3,75130159771394-9,95564788347115i</v>
      </c>
      <c r="AQ276" s="32">
        <f t="shared" ref="AQ276:AQ339" si="296">20*LOG(IMABS(AP276))</f>
        <v>20.5379727228114</v>
      </c>
      <c r="AR276" s="31">
        <f t="shared" ref="AR276:AR339" si="297">(180/PI())*IMARGUMENT(AP276)</f>
        <v>-69.3535229721182</v>
      </c>
      <c r="AS276" t="str">
        <f t="shared" si="273"/>
        <v>-0,000100699300699301</v>
      </c>
      <c r="AT276" t="str">
        <f t="shared" si="274"/>
        <v>0,00536763456375365i</v>
      </c>
      <c r="AU276">
        <f t="shared" ref="AU276:AU339" si="298">IMABS(AT276)</f>
        <v>0.00536763456375365</v>
      </c>
      <c r="AV276">
        <f t="shared" ref="AV276:AV339" si="299">IMARGUMENT(AT276)</f>
        <v>1.5707963267949</v>
      </c>
      <c r="AW276" t="str">
        <f t="shared" si="275"/>
        <v>1+0,274813044447003i</v>
      </c>
      <c r="AX276">
        <f t="shared" ref="AX276:AX339" si="300">IMABS(AW276)</f>
        <v>1.03707386882431</v>
      </c>
      <c r="AY276">
        <f t="shared" ref="AY276:AY339" si="301">IMARGUMENT(AW276)</f>
        <v>0.268192391510065</v>
      </c>
      <c r="AZ276" t="str">
        <f t="shared" si="276"/>
        <v>1+13,1384023589876i</v>
      </c>
      <c r="BA276">
        <f t="shared" ref="BA276:BA339" si="302">IMABS(AZ276)</f>
        <v>13.1764037789774</v>
      </c>
      <c r="BB276">
        <f t="shared" ref="BB276:BB339" si="303">IMARGUMENT(AZ276)</f>
        <v>1.49483004058231</v>
      </c>
      <c r="BC276" s="30" t="str">
        <f t="shared" ref="BC276:BC339" si="304">IMPRODUCT(AS276,IMDIV(AZ276,IMPRODUCT(AT276,AW276)))</f>
        <v>-0,224381112606855+0,080423318007937i</v>
      </c>
      <c r="BD276" s="32">
        <f t="shared" ref="BD276:BD339" si="305">20*LOG(IMABS(BC276))</f>
        <v>-12.4553856538206</v>
      </c>
      <c r="BE276" s="31">
        <f t="shared" ref="BE276:BE339" si="306">(180/PI())*IMARGUMENT(BC276)</f>
        <v>160.281160283689</v>
      </c>
      <c r="BF276" s="30" t="str">
        <f t="shared" ref="BF276:BF339" si="307">IMPRODUCT(AC276,BC276)</f>
        <v>0,10651468239096+0,486037687677728i</v>
      </c>
      <c r="BG276" s="68">
        <f t="shared" ref="BG276:BG339" si="308">20*LOG(IMABS(BF276))</f>
        <v>-6.06287929717529</v>
      </c>
      <c r="BH276" s="31">
        <f t="shared" ref="BH276:BH339" si="309">(180/PI())*IMARGUMENT(BF276)</f>
        <v>77.6390964711949</v>
      </c>
      <c r="BI276" s="30" t="str">
        <f t="shared" si="263"/>
        <v>-0,0410549905114814+2,53555147015197i</v>
      </c>
      <c r="BJ276" s="68">
        <f t="shared" ref="BJ276:BJ339" si="310">20*LOG(IMABS(BI276))</f>
        <v>8.08258706899078</v>
      </c>
      <c r="BK276" s="31">
        <f t="shared" si="264"/>
        <v>90.9276373115708</v>
      </c>
      <c r="BL276" s="32">
        <f t="shared" ref="BL276:BL339" si="311">IF($B$31=0,BJ276,BG276)</f>
        <v>-6.06287929717529</v>
      </c>
      <c r="BM276" s="31">
        <f t="shared" ref="BM276:BM339" si="312">IF($B$31=0,BK276,BH276)</f>
        <v>77.6390964711949</v>
      </c>
      <c r="BO276">
        <f t="shared" ref="BO276:BO339" si="313">SUM((BL277&lt;0)*(BL276&gt;0))*O276</f>
        <v>0</v>
      </c>
      <c r="BP276">
        <f t="shared" ref="BP276:BP339" si="314">IF(BO276&gt;0,BM276,0)</f>
        <v>0</v>
      </c>
    </row>
    <row r="277" spans="14:68">
      <c r="N277" s="7">
        <v>59</v>
      </c>
      <c r="O277" s="18">
        <f t="shared" si="262"/>
        <v>3890.45144994281</v>
      </c>
      <c r="P277" s="86" t="str">
        <f t="shared" si="265"/>
        <v>75</v>
      </c>
      <c r="Q277" s="4" t="str">
        <f t="shared" si="266"/>
        <v>1+39,9258980680078i</v>
      </c>
      <c r="R277" s="4">
        <f t="shared" si="277"/>
        <v>39.938419304436</v>
      </c>
      <c r="S277" s="4">
        <f t="shared" si="278"/>
        <v>1.54575516254633</v>
      </c>
      <c r="T277" s="4" t="str">
        <f t="shared" si="267"/>
        <v>1+0,383288621452875i</v>
      </c>
      <c r="U277" s="4">
        <f t="shared" si="279"/>
        <v>1.07093891858278</v>
      </c>
      <c r="V277" s="4">
        <f t="shared" si="280"/>
        <v>0.36601753178954</v>
      </c>
      <c r="W277" t="str">
        <f t="shared" si="268"/>
        <v>1-0,201055415271039i</v>
      </c>
      <c r="X277" s="4">
        <f t="shared" si="281"/>
        <v>1.02001141170568</v>
      </c>
      <c r="Y277" s="4">
        <f t="shared" si="282"/>
        <v>-0.198410175946621</v>
      </c>
      <c r="Z277" t="str">
        <f t="shared" si="269"/>
        <v>0,99987644397972+0,0630915659557802i</v>
      </c>
      <c r="AA277" s="4">
        <f t="shared" si="283"/>
        <v>1.00186498537492</v>
      </c>
      <c r="AB277" s="4">
        <f t="shared" si="284"/>
        <v>0.0630158177610353</v>
      </c>
      <c r="AC277" s="67" t="str">
        <f t="shared" si="285"/>
        <v>0,264684467783387-2,03035312226337i</v>
      </c>
      <c r="AD277" s="68">
        <f t="shared" si="286"/>
        <v>6.22461849250706</v>
      </c>
      <c r="AE277" s="31">
        <f t="shared" si="287"/>
        <v>-82.5725932695893</v>
      </c>
      <c r="AF277" s="32" t="str">
        <f t="shared" si="288"/>
        <v>249,914648392112</v>
      </c>
      <c r="AG277" s="32" t="str">
        <f t="shared" si="270"/>
        <v>1+25,666648758005i</v>
      </c>
      <c r="AH277" s="32">
        <f t="shared" si="289"/>
        <v>25.6861219039932</v>
      </c>
      <c r="AI277" s="32">
        <f t="shared" si="290"/>
        <v>1.53185495655436</v>
      </c>
      <c r="AJ277" s="32" t="str">
        <f t="shared" si="271"/>
        <v>1+0,383288621452875i</v>
      </c>
      <c r="AK277" s="32">
        <f t="shared" si="291"/>
        <v>1.07093891858278</v>
      </c>
      <c r="AL277" s="32">
        <f t="shared" si="292"/>
        <v>0.36601753178954</v>
      </c>
      <c r="AM277" s="32" t="str">
        <f t="shared" si="272"/>
        <v>1-0,0387878235404092i</v>
      </c>
      <c r="AN277" s="32">
        <f t="shared" si="293"/>
        <v>1.00075196490189</v>
      </c>
      <c r="AO277" s="32">
        <f t="shared" si="294"/>
        <v>-0.0387683890486993</v>
      </c>
      <c r="AP277" s="30" t="str">
        <f t="shared" si="295"/>
        <v>3,7337178935132-9,73622995318586i</v>
      </c>
      <c r="AQ277" s="32">
        <f t="shared" si="296"/>
        <v>20.3636865189668</v>
      </c>
      <c r="AR277" s="31">
        <f t="shared" si="297"/>
        <v>-69.0188291084367</v>
      </c>
      <c r="AS277" t="str">
        <f t="shared" si="273"/>
        <v>-0,000100699300699301</v>
      </c>
      <c r="AT277" t="str">
        <f t="shared" si="274"/>
        <v>0,00549266283421307i</v>
      </c>
      <c r="AU277">
        <f t="shared" si="298"/>
        <v>0.00549266283421307</v>
      </c>
      <c r="AV277">
        <f t="shared" si="299"/>
        <v>1.5707963267949</v>
      </c>
      <c r="AW277" t="str">
        <f t="shared" si="275"/>
        <v>1+0,281214262569958i</v>
      </c>
      <c r="AX277">
        <f t="shared" si="300"/>
        <v>1.03878845848073</v>
      </c>
      <c r="AY277">
        <f t="shared" si="301"/>
        <v>0.274134333047972</v>
      </c>
      <c r="AZ277" t="str">
        <f t="shared" si="276"/>
        <v>1+13,4444350637169i</v>
      </c>
      <c r="BA277">
        <f t="shared" si="302"/>
        <v>13.4815738763136</v>
      </c>
      <c r="BB277">
        <f t="shared" si="303"/>
        <v>1.4965528235308</v>
      </c>
      <c r="BC277" s="30" t="str">
        <f t="shared" si="304"/>
        <v>-0,223641011910988+0,0812244633448296i</v>
      </c>
      <c r="BD277" s="32">
        <f t="shared" si="305"/>
        <v>-12.470860119524</v>
      </c>
      <c r="BE277" s="31">
        <f t="shared" si="306"/>
        <v>160.039420303419</v>
      </c>
      <c r="BF277" s="30" t="str">
        <f t="shared" si="307"/>
        <v>0,105720040544143+0,475569080651031i</v>
      </c>
      <c r="BG277" s="68">
        <f t="shared" si="308"/>
        <v>-6.24624162701698</v>
      </c>
      <c r="BH277" s="31">
        <f t="shared" si="309"/>
        <v>77.4668270338298</v>
      </c>
      <c r="BI277" s="30" t="str">
        <f t="shared" si="263"/>
        <v>-0,0441923949460776+2,48068955111015i</v>
      </c>
      <c r="BJ277" s="68">
        <f t="shared" si="310"/>
        <v>7.89282639944277</v>
      </c>
      <c r="BK277" s="31">
        <f t="shared" si="264"/>
        <v>91.0205911949823</v>
      </c>
      <c r="BL277" s="32">
        <f t="shared" si="311"/>
        <v>-6.24624162701698</v>
      </c>
      <c r="BM277" s="31">
        <f t="shared" si="312"/>
        <v>77.4668270338298</v>
      </c>
      <c r="BO277">
        <f t="shared" si="313"/>
        <v>0</v>
      </c>
      <c r="BP277">
        <f t="shared" si="314"/>
        <v>0</v>
      </c>
    </row>
    <row r="278" spans="14:68">
      <c r="N278" s="7">
        <v>60</v>
      </c>
      <c r="O278" s="18">
        <f t="shared" si="262"/>
        <v>3981.07170553498</v>
      </c>
      <c r="P278" s="86" t="str">
        <f t="shared" si="265"/>
        <v>75</v>
      </c>
      <c r="Q278" s="4" t="str">
        <f t="shared" si="266"/>
        <v>1+40,8558917035081i</v>
      </c>
      <c r="R278" s="4">
        <f t="shared" si="277"/>
        <v>40.8681280081286</v>
      </c>
      <c r="S278" s="4">
        <f t="shared" si="278"/>
        <v>1.54632493884895</v>
      </c>
      <c r="T278" s="4" t="str">
        <f t="shared" si="267"/>
        <v>1+0,392216560353678i</v>
      </c>
      <c r="U278" s="4">
        <f t="shared" si="279"/>
        <v>1.07416657470602</v>
      </c>
      <c r="V278" s="4">
        <f t="shared" si="280"/>
        <v>0.373778559495469</v>
      </c>
      <c r="W278" t="str">
        <f t="shared" si="268"/>
        <v>1-0,205738597506952i</v>
      </c>
      <c r="X278" s="4">
        <f t="shared" si="281"/>
        <v>1.02094484204786</v>
      </c>
      <c r="Y278" s="4">
        <f t="shared" si="282"/>
        <v>-0.202907303560967</v>
      </c>
      <c r="Z278" t="str">
        <f t="shared" si="269"/>
        <v>0,999870620963881+0,064561157314569i</v>
      </c>
      <c r="AA278" s="4">
        <f t="shared" si="283"/>
        <v>1.00195279414776</v>
      </c>
      <c r="AB278" s="4">
        <f t="shared" si="284"/>
        <v>0.0644800001931508</v>
      </c>
      <c r="AC278" s="67" t="str">
        <f t="shared" si="285"/>
        <v>0,262106988946594-1,99147039855233i</v>
      </c>
      <c r="AD278" s="68">
        <f t="shared" si="286"/>
        <v>6.05806342264773</v>
      </c>
      <c r="AE278" s="31">
        <f t="shared" si="287"/>
        <v>-82.5021228207934</v>
      </c>
      <c r="AF278" s="32" t="str">
        <f t="shared" si="288"/>
        <v>249,914648392112</v>
      </c>
      <c r="AG278" s="32" t="str">
        <f t="shared" si="270"/>
        <v>1+26,2645018093981i</v>
      </c>
      <c r="AH278" s="32">
        <f t="shared" si="289"/>
        <v>26.2835320171372</v>
      </c>
      <c r="AI278" s="32">
        <f t="shared" si="290"/>
        <v>1.53274050482997</v>
      </c>
      <c r="AJ278" s="32" t="str">
        <f t="shared" si="271"/>
        <v>1+0,392216560353678i</v>
      </c>
      <c r="AK278" s="32">
        <f t="shared" si="291"/>
        <v>1.07416657470602</v>
      </c>
      <c r="AL278" s="32">
        <f t="shared" si="292"/>
        <v>0.373778559495469</v>
      </c>
      <c r="AM278" s="32" t="str">
        <f t="shared" si="272"/>
        <v>1-0,0396913080147233i</v>
      </c>
      <c r="AN278" s="32">
        <f t="shared" si="293"/>
        <v>1.00078738997447</v>
      </c>
      <c r="AO278" s="32">
        <f t="shared" si="294"/>
        <v>-0.0396704844664508</v>
      </c>
      <c r="AP278" s="30" t="str">
        <f t="shared" si="295"/>
        <v>3,71692324120878-9,52191270649156i</v>
      </c>
      <c r="AQ278" s="32">
        <f t="shared" si="296"/>
        <v>20.1904289043511</v>
      </c>
      <c r="AR278" s="31">
        <f t="shared" si="297"/>
        <v>-68.6765794151056</v>
      </c>
      <c r="AS278" t="str">
        <f t="shared" si="273"/>
        <v>-0,000100699300699301</v>
      </c>
      <c r="AT278" t="str">
        <f t="shared" si="274"/>
        <v>0,00562060338721118i</v>
      </c>
      <c r="AU278">
        <f t="shared" si="298"/>
        <v>0.00562060338721118</v>
      </c>
      <c r="AV278">
        <f t="shared" si="299"/>
        <v>1.5707963267949</v>
      </c>
      <c r="AW278" t="str">
        <f t="shared" si="275"/>
        <v>1+0,287764584217238i</v>
      </c>
      <c r="AX278">
        <f t="shared" si="300"/>
        <v>1.04058082623587</v>
      </c>
      <c r="AY278">
        <f t="shared" si="301"/>
        <v>0.280194189674916</v>
      </c>
      <c r="AZ278" t="str">
        <f t="shared" si="276"/>
        <v>1+13,7575961858752i</v>
      </c>
      <c r="BA278">
        <f t="shared" si="302"/>
        <v>13.7938918660981</v>
      </c>
      <c r="BB278">
        <f t="shared" si="303"/>
        <v>1.49823681789166</v>
      </c>
      <c r="BC278" s="30" t="str">
        <f t="shared" si="304"/>
        <v>-0,222871246208499+0,0820505529854278i</v>
      </c>
      <c r="BD278" s="32">
        <f t="shared" si="305"/>
        <v>-12.4869097668513</v>
      </c>
      <c r="BE278" s="31">
        <f t="shared" si="306"/>
        <v>159.788701863842</v>
      </c>
      <c r="BF278" s="30" t="str">
        <f t="shared" si="307"/>
        <v>0,104985136188844+0,465347512897107i</v>
      </c>
      <c r="BG278" s="68">
        <f t="shared" si="308"/>
        <v>-6.42884634420361</v>
      </c>
      <c r="BH278" s="31">
        <f t="shared" si="309"/>
        <v>77.2865790430488</v>
      </c>
      <c r="BI278" s="30" t="str">
        <f t="shared" si="263"/>
        <v>-0,0471171117829301+2,42713615852988i</v>
      </c>
      <c r="BJ278" s="68">
        <f t="shared" si="310"/>
        <v>7.70351913749975</v>
      </c>
      <c r="BK278" s="31">
        <f t="shared" si="264"/>
        <v>91.1121224487365</v>
      </c>
      <c r="BL278" s="32">
        <f t="shared" si="311"/>
        <v>-6.42884634420361</v>
      </c>
      <c r="BM278" s="31">
        <f t="shared" si="312"/>
        <v>77.2865790430488</v>
      </c>
      <c r="BO278">
        <f t="shared" si="313"/>
        <v>0</v>
      </c>
      <c r="BP278">
        <f t="shared" si="314"/>
        <v>0</v>
      </c>
    </row>
    <row r="279" spans="14:68">
      <c r="N279" s="7">
        <v>61</v>
      </c>
      <c r="O279" s="18">
        <f t="shared" si="262"/>
        <v>4073.80277804113</v>
      </c>
      <c r="P279" s="86" t="str">
        <f t="shared" si="265"/>
        <v>75</v>
      </c>
      <c r="Q279" s="4" t="str">
        <f t="shared" si="266"/>
        <v>1+41,8075476735811i</v>
      </c>
      <c r="R279" s="4">
        <f t="shared" si="277"/>
        <v>41.8195055264736</v>
      </c>
      <c r="S279" s="4">
        <f t="shared" si="278"/>
        <v>1.54688176081631</v>
      </c>
      <c r="T279" s="4" t="str">
        <f t="shared" si="267"/>
        <v>1+0,401352457666379i</v>
      </c>
      <c r="U279" s="4">
        <f t="shared" si="279"/>
        <v>1.0775359832854</v>
      </c>
      <c r="V279" s="4">
        <f t="shared" si="280"/>
        <v>0.381671744879521</v>
      </c>
      <c r="W279" t="str">
        <f t="shared" si="268"/>
        <v>1-0,210530865070534i</v>
      </c>
      <c r="X279" s="4">
        <f t="shared" si="281"/>
        <v>1.02192134978547</v>
      </c>
      <c r="Y279" s="4">
        <f t="shared" si="282"/>
        <v>-0.207500582639332</v>
      </c>
      <c r="Z279" t="str">
        <f t="shared" si="269"/>
        <v>0,99986452351776+0,0660649798535336i</v>
      </c>
      <c r="AA279" s="4">
        <f t="shared" si="283"/>
        <v>1.00204473300968</v>
      </c>
      <c r="AB279" s="4">
        <f t="shared" si="284"/>
        <v>0.0659780280013242</v>
      </c>
      <c r="AC279" s="67" t="str">
        <f t="shared" si="285"/>
        <v>0,259602374929657-1,95363618032859i</v>
      </c>
      <c r="AD279" s="68">
        <f t="shared" si="286"/>
        <v>5.89289029444465</v>
      </c>
      <c r="AE279" s="31">
        <f t="shared" si="287"/>
        <v>-82.4307863363607</v>
      </c>
      <c r="AF279" s="32" t="str">
        <f t="shared" si="288"/>
        <v>249,914648392112</v>
      </c>
      <c r="AG279" s="32" t="str">
        <f t="shared" si="270"/>
        <v>1+26,8762806473022i</v>
      </c>
      <c r="AH279" s="32">
        <f t="shared" si="289"/>
        <v>26.8948779776475</v>
      </c>
      <c r="AI279" s="32">
        <f t="shared" si="290"/>
        <v>1.53360595327167</v>
      </c>
      <c r="AJ279" s="32" t="str">
        <f t="shared" si="271"/>
        <v>1+0,401352457666379i</v>
      </c>
      <c r="AK279" s="32">
        <f t="shared" si="291"/>
        <v>1.0775359832854</v>
      </c>
      <c r="AL279" s="32">
        <f t="shared" si="292"/>
        <v>0.381671744879521</v>
      </c>
      <c r="AM279" s="32" t="str">
        <f t="shared" si="272"/>
        <v>1-0,0406158373459232i</v>
      </c>
      <c r="AN279" s="32">
        <f t="shared" si="293"/>
        <v>1.00082448323535</v>
      </c>
      <c r="AO279" s="32">
        <f t="shared" si="294"/>
        <v>-0.0405935255045848</v>
      </c>
      <c r="AP279" s="30" t="str">
        <f t="shared" si="295"/>
        <v>3,70088233352575-9,31258660893522i</v>
      </c>
      <c r="AQ279" s="32">
        <f t="shared" si="296"/>
        <v>20.0182367423493</v>
      </c>
      <c r="AR279" s="31">
        <f t="shared" si="297"/>
        <v>-68.3268061045828</v>
      </c>
      <c r="AS279" t="str">
        <f t="shared" si="273"/>
        <v>-0,000100699300699301</v>
      </c>
      <c r="AT279" t="str">
        <f t="shared" si="274"/>
        <v>0,00575152405852267i</v>
      </c>
      <c r="AU279">
        <f t="shared" si="298"/>
        <v>0.00575152405852267</v>
      </c>
      <c r="AV279">
        <f t="shared" si="299"/>
        <v>1.5707963267949</v>
      </c>
      <c r="AW279" t="str">
        <f t="shared" si="275"/>
        <v>1+0,294467482456084i</v>
      </c>
      <c r="AX279">
        <f t="shared" si="300"/>
        <v>1.04245436265768</v>
      </c>
      <c r="AY279">
        <f t="shared" si="301"/>
        <v>0.286373393477684</v>
      </c>
      <c r="AZ279" t="str">
        <f t="shared" si="276"/>
        <v>1+14,0780517676345i</v>
      </c>
      <c r="BA279">
        <f t="shared" si="302"/>
        <v>14.1135233578365</v>
      </c>
      <c r="BB279">
        <f t="shared" si="303"/>
        <v>1.49988287831533</v>
      </c>
      <c r="BC279" s="30" t="str">
        <f t="shared" si="304"/>
        <v>-0,222070861678462+0,0829009287921065i</v>
      </c>
      <c r="BD279" s="32">
        <f t="shared" si="305"/>
        <v>-12.5035618199492</v>
      </c>
      <c r="BE279" s="31">
        <f t="shared" si="306"/>
        <v>159.528971880292</v>
      </c>
      <c r="BF279" s="30" t="str">
        <f t="shared" si="307"/>
        <v>0,104308130776699+0,455366947970094i</v>
      </c>
      <c r="BG279" s="68">
        <f t="shared" si="308"/>
        <v>-6.61067152550458</v>
      </c>
      <c r="BH279" s="31">
        <f t="shared" si="309"/>
        <v>77.0981855439312</v>
      </c>
      <c r="BI279" s="30" t="str">
        <f t="shared" si="263"/>
        <v>-0,0498360494389973+2,37486071550113i</v>
      </c>
      <c r="BJ279" s="68">
        <f t="shared" si="310"/>
        <v>7.51467492240003</v>
      </c>
      <c r="BK279" s="31">
        <f t="shared" si="264"/>
        <v>91.2021657757091</v>
      </c>
      <c r="BL279" s="32">
        <f t="shared" si="311"/>
        <v>-6.61067152550458</v>
      </c>
      <c r="BM279" s="31">
        <f t="shared" si="312"/>
        <v>77.0981855439312</v>
      </c>
      <c r="BO279">
        <f t="shared" si="313"/>
        <v>0</v>
      </c>
      <c r="BP279">
        <f t="shared" si="314"/>
        <v>0</v>
      </c>
    </row>
    <row r="280" spans="14:68">
      <c r="N280" s="7">
        <v>62</v>
      </c>
      <c r="O280" s="18">
        <f t="shared" si="262"/>
        <v>4168.69383470336</v>
      </c>
      <c r="P280" s="86" t="str">
        <f t="shared" si="265"/>
        <v>75</v>
      </c>
      <c r="Q280" s="4" t="str">
        <f t="shared" si="266"/>
        <v>1+42,7813705588192i</v>
      </c>
      <c r="R280" s="4">
        <f t="shared" si="277"/>
        <v>42.7930562929432</v>
      </c>
      <c r="S280" s="4">
        <f t="shared" si="278"/>
        <v>1.54742592230087</v>
      </c>
      <c r="T280" s="4" t="str">
        <f t="shared" si="267"/>
        <v>1+0,410701157364665i</v>
      </c>
      <c r="U280" s="4">
        <f t="shared" si="279"/>
        <v>1.08105293147962</v>
      </c>
      <c r="V280" s="4">
        <f t="shared" si="280"/>
        <v>0.389697337865551</v>
      </c>
      <c r="W280" t="str">
        <f t="shared" si="268"/>
        <v>1-0,215434758885483i</v>
      </c>
      <c r="X280" s="4">
        <f t="shared" si="281"/>
        <v>1.02294287980124</v>
      </c>
      <c r="Y280" s="4">
        <f t="shared" si="282"/>
        <v>-0.212191672955706</v>
      </c>
      <c r="Z280" t="str">
        <f t="shared" si="269"/>
        <v>0,999858138707857+0,0676038309192903i</v>
      </c>
      <c r="AA280" s="4">
        <f t="shared" si="283"/>
        <v>1.00214099581611</v>
      </c>
      <c r="AB280" s="4">
        <f t="shared" si="284"/>
        <v>0.0675106710660255</v>
      </c>
      <c r="AC280" s="67" t="str">
        <f t="shared" si="285"/>
        <v>0,257165352925846-1,91683052165463i</v>
      </c>
      <c r="AD280" s="68">
        <f t="shared" si="286"/>
        <v>5.72914944425925</v>
      </c>
      <c r="AE280" s="31">
        <f t="shared" si="287"/>
        <v>-82.3587255421603</v>
      </c>
      <c r="AF280" s="32" t="str">
        <f t="shared" si="288"/>
        <v>249,914648392112</v>
      </c>
      <c r="AG280" s="32" t="str">
        <f t="shared" si="270"/>
        <v>1+27,5023096449552i</v>
      </c>
      <c r="AH280" s="32">
        <f t="shared" si="289"/>
        <v>27.520483931192</v>
      </c>
      <c r="AI280" s="32">
        <f t="shared" si="290"/>
        <v>1.53445175556293</v>
      </c>
      <c r="AJ280" s="32" t="str">
        <f t="shared" si="271"/>
        <v>1+0,410701157364665i</v>
      </c>
      <c r="AK280" s="32">
        <f t="shared" si="291"/>
        <v>1.08105293147962</v>
      </c>
      <c r="AL280" s="32">
        <f t="shared" si="292"/>
        <v>0.389697337865551</v>
      </c>
      <c r="AM280" s="32" t="str">
        <f t="shared" si="272"/>
        <v>1-0,0415619017316982i</v>
      </c>
      <c r="AN280" s="32">
        <f t="shared" si="293"/>
        <v>1.00086332317433</v>
      </c>
      <c r="AO280" s="32">
        <f t="shared" si="294"/>
        <v>-0.0415379952766074</v>
      </c>
      <c r="AP280" s="30" t="str">
        <f t="shared" si="295"/>
        <v>3,68556143421685-9,10814450009801i</v>
      </c>
      <c r="AQ280" s="32">
        <f t="shared" si="296"/>
        <v>19.8471475902949</v>
      </c>
      <c r="AR280" s="31">
        <f t="shared" si="297"/>
        <v>-67.9695485318</v>
      </c>
      <c r="AS280" t="str">
        <f t="shared" si="273"/>
        <v>-0,000100699300699301</v>
      </c>
      <c r="AT280" t="str">
        <f t="shared" si="274"/>
        <v>0,00588549426402041i</v>
      </c>
      <c r="AU280">
        <f t="shared" si="298"/>
        <v>0.00588549426402041</v>
      </c>
      <c r="AV280">
        <f t="shared" si="299"/>
        <v>1.5707963267949</v>
      </c>
      <c r="AW280" t="str">
        <f t="shared" si="275"/>
        <v>1+0,301326511251867i</v>
      </c>
      <c r="AX280">
        <f t="shared" si="300"/>
        <v>1.04441259394131</v>
      </c>
      <c r="AY280">
        <f t="shared" si="301"/>
        <v>0.292673332525617</v>
      </c>
      <c r="AZ280" t="str">
        <f t="shared" si="276"/>
        <v>1+14,405971718786i</v>
      </c>
      <c r="BA280">
        <f t="shared" si="302"/>
        <v>14.4406378377987</v>
      </c>
      <c r="BB280">
        <f t="shared" si="303"/>
        <v>1.5014918418646</v>
      </c>
      <c r="BC280" s="30" t="str">
        <f t="shared" si="304"/>
        <v>-0,221238894632336+0,0837748883625685i</v>
      </c>
      <c r="BD280" s="32">
        <f t="shared" si="305"/>
        <v>-12.5208441987148</v>
      </c>
      <c r="BE280" s="31">
        <f t="shared" si="306"/>
        <v>159.260198782419</v>
      </c>
      <c r="BF280" s="30" t="str">
        <f t="shared" si="307"/>
        <v>0,103687284542532+0,445621464540478i</v>
      </c>
      <c r="BG280" s="68">
        <f t="shared" si="308"/>
        <v>-6.79169475445553</v>
      </c>
      <c r="BH280" s="31">
        <f t="shared" si="309"/>
        <v>76.901473240259</v>
      </c>
      <c r="BI280" s="30" t="str">
        <f t="shared" si="263"/>
        <v>-0,0523557491198497+2,32383331905818i</v>
      </c>
      <c r="BJ280" s="68">
        <f t="shared" si="310"/>
        <v>7.32630339158009</v>
      </c>
      <c r="BK280" s="31">
        <f t="shared" si="264"/>
        <v>91.2906502506194</v>
      </c>
      <c r="BL280" s="32">
        <f t="shared" si="311"/>
        <v>-6.79169475445553</v>
      </c>
      <c r="BM280" s="31">
        <f t="shared" si="312"/>
        <v>76.901473240259</v>
      </c>
      <c r="BO280">
        <f t="shared" si="313"/>
        <v>0</v>
      </c>
      <c r="BP280">
        <f t="shared" si="314"/>
        <v>0</v>
      </c>
    </row>
    <row r="281" spans="14:68">
      <c r="N281" s="7">
        <v>63</v>
      </c>
      <c r="O281" s="18">
        <f t="shared" si="262"/>
        <v>4265.79518801593</v>
      </c>
      <c r="P281" s="86" t="str">
        <f t="shared" si="265"/>
        <v>75</v>
      </c>
      <c r="Q281" s="4" t="str">
        <f t="shared" si="266"/>
        <v>1+43,7778766930058i</v>
      </c>
      <c r="R281" s="4">
        <f t="shared" si="277"/>
        <v>43.7892964975235</v>
      </c>
      <c r="S281" s="4">
        <f t="shared" si="278"/>
        <v>1.54795771053443</v>
      </c>
      <c r="T281" s="4" t="str">
        <f t="shared" si="267"/>
        <v>1+0,420267616252856i</v>
      </c>
      <c r="U281" s="4">
        <f t="shared" si="279"/>
        <v>1.0847234068051</v>
      </c>
      <c r="V281" s="4">
        <f t="shared" si="280"/>
        <v>0.397855457249229</v>
      </c>
      <c r="W281" t="str">
        <f t="shared" si="268"/>
        <v>1-0,220452879061208i</v>
      </c>
      <c r="X281" s="4">
        <f t="shared" si="281"/>
        <v>1.02401146081788</v>
      </c>
      <c r="Y281" s="4">
        <f t="shared" si="282"/>
        <v>-0.216982235535358</v>
      </c>
      <c r="Z281" t="str">
        <f t="shared" si="269"/>
        <v>0,999851452991134+0,0691785264310427i</v>
      </c>
      <c r="AA281" s="4">
        <f t="shared" si="283"/>
        <v>1.00224178548275</v>
      </c>
      <c r="AB281" s="4">
        <f t="shared" si="284"/>
        <v>0.0690787158912881</v>
      </c>
      <c r="AC281" s="67" t="str">
        <f t="shared" si="285"/>
        <v>0,254790794555249-1,88103398754518i</v>
      </c>
      <c r="AD281" s="68">
        <f t="shared" si="286"/>
        <v>5.56689238012746</v>
      </c>
      <c r="AE281" s="31">
        <f t="shared" si="287"/>
        <v>-82.2860903219718</v>
      </c>
      <c r="AF281" s="32" t="str">
        <f t="shared" si="288"/>
        <v>249,914648392112</v>
      </c>
      <c r="AG281" s="32" t="str">
        <f t="shared" si="270"/>
        <v>1+28,142920731218i</v>
      </c>
      <c r="AH281" s="32">
        <f t="shared" si="289"/>
        <v>28.1606815841453</v>
      </c>
      <c r="AI281" s="32">
        <f t="shared" si="290"/>
        <v>1.535278355316</v>
      </c>
      <c r="AJ281" s="32" t="str">
        <f t="shared" si="271"/>
        <v>1+0,420267616252856i</v>
      </c>
      <c r="AK281" s="32">
        <f t="shared" si="291"/>
        <v>1.0847234068051</v>
      </c>
      <c r="AL281" s="32">
        <f t="shared" si="292"/>
        <v>0.397855457249229</v>
      </c>
      <c r="AM281" s="32" t="str">
        <f t="shared" si="272"/>
        <v>1-0,0425300027879081i</v>
      </c>
      <c r="AN281" s="32">
        <f t="shared" si="293"/>
        <v>1.00090399196783</v>
      </c>
      <c r="AO281" s="32">
        <f t="shared" si="294"/>
        <v>-0.0425043878091399</v>
      </c>
      <c r="AP281" s="30" t="str">
        <f t="shared" si="295"/>
        <v>3,67092830893652-8,90848155481661i</v>
      </c>
      <c r="AQ281" s="32">
        <f t="shared" si="296"/>
        <v>19.6771996705352</v>
      </c>
      <c r="AR281" s="31">
        <f t="shared" si="297"/>
        <v>-67.6048536130159</v>
      </c>
      <c r="AS281" t="str">
        <f t="shared" si="273"/>
        <v>-0,000100699300699301</v>
      </c>
      <c r="AT281" t="str">
        <f t="shared" si="274"/>
        <v>0,00602258503648066i</v>
      </c>
      <c r="AU281">
        <f t="shared" si="298"/>
        <v>0.00602258503648066</v>
      </c>
      <c r="AV281">
        <f t="shared" si="299"/>
        <v>1.5707963267949</v>
      </c>
      <c r="AW281" t="str">
        <f t="shared" si="275"/>
        <v>1+0,308345307352443i</v>
      </c>
      <c r="AX281">
        <f t="shared" si="300"/>
        <v>1.04645918628787</v>
      </c>
      <c r="AY281">
        <f t="shared" si="301"/>
        <v>0.299095346059901</v>
      </c>
      <c r="AZ281" t="str">
        <f t="shared" si="276"/>
        <v>1+14,7415299068285i</v>
      </c>
      <c r="BA281">
        <f t="shared" si="302"/>
        <v>14.7754087589454</v>
      </c>
      <c r="BB281">
        <f t="shared" si="303"/>
        <v>1.50306452829273</v>
      </c>
      <c r="BC281" s="30" t="str">
        <f t="shared" si="304"/>
        <v>-0,220374373452969+0,0846716826805266i</v>
      </c>
      <c r="BD281" s="32">
        <f t="shared" si="305"/>
        <v>-12.5387855304558</v>
      </c>
      <c r="BE281" s="31">
        <f t="shared" si="306"/>
        <v>158.982352805758</v>
      </c>
      <c r="BF281" s="30" t="str">
        <f t="shared" si="307"/>
        <v>0,103120951193014+0,43610525175551i</v>
      </c>
      <c r="BG281" s="68">
        <f t="shared" si="308"/>
        <v>-6.9718931503283</v>
      </c>
      <c r="BH281" s="31">
        <f t="shared" si="309"/>
        <v>76.6962624837864</v>
      </c>
      <c r="BI281" s="30" t="str">
        <f t="shared" si="263"/>
        <v>-0,0546824026978963+2,27402471797728i</v>
      </c>
      <c r="BJ281" s="68">
        <f t="shared" si="310"/>
        <v>7.13841414007948</v>
      </c>
      <c r="BK281" s="31">
        <f t="shared" si="264"/>
        <v>91.3774991927424</v>
      </c>
      <c r="BL281" s="32">
        <f t="shared" si="311"/>
        <v>-6.9718931503283</v>
      </c>
      <c r="BM281" s="31">
        <f t="shared" si="312"/>
        <v>76.6962624837864</v>
      </c>
      <c r="BO281">
        <f t="shared" si="313"/>
        <v>0</v>
      </c>
      <c r="BP281">
        <f t="shared" si="314"/>
        <v>0</v>
      </c>
    </row>
    <row r="282" spans="14:68">
      <c r="N282" s="7">
        <v>64</v>
      </c>
      <c r="O282" s="18">
        <f t="shared" si="262"/>
        <v>4365.15832240166</v>
      </c>
      <c r="P282" s="86" t="str">
        <f t="shared" si="265"/>
        <v>75</v>
      </c>
      <c r="Q282" s="4" t="str">
        <f t="shared" si="266"/>
        <v>1+44,7975944368838i</v>
      </c>
      <c r="R282" s="4">
        <f t="shared" si="277"/>
        <v>44.8087543604096</v>
      </c>
      <c r="S282" s="4">
        <f t="shared" si="278"/>
        <v>1.54847740627436</v>
      </c>
      <c r="T282" s="4" t="str">
        <f t="shared" si="267"/>
        <v>1+0,430056906594084i</v>
      </c>
      <c r="U282" s="4">
        <f t="shared" si="279"/>
        <v>1.08855360130279</v>
      </c>
      <c r="V282" s="4">
        <f t="shared" si="280"/>
        <v>0.406146083820919</v>
      </c>
      <c r="W282" t="str">
        <f t="shared" si="268"/>
        <v>1-0,22558788627145i</v>
      </c>
      <c r="X282" s="4">
        <f t="shared" si="281"/>
        <v>1.02512920865246</v>
      </c>
      <c r="Y282" s="4">
        <f t="shared" si="282"/>
        <v>-0.221873930465956</v>
      </c>
      <c r="Z282" t="str">
        <f t="shared" si="269"/>
        <v>0,999844452186289+0,0707899013131948i</v>
      </c>
      <c r="AA282" s="4">
        <f t="shared" si="283"/>
        <v>1.00234731440536</v>
      </c>
      <c r="AB282" s="4">
        <f t="shared" si="284"/>
        <v>0.0706829658997875</v>
      </c>
      <c r="AC282" s="67" t="str">
        <f t="shared" si="285"/>
        <v>0,25247370532859-1,8462276440738i</v>
      </c>
      <c r="AD282" s="68">
        <f t="shared" si="286"/>
        <v>5.40617175993216</v>
      </c>
      <c r="AE282" s="31">
        <f t="shared" si="287"/>
        <v>-82.2130390113837</v>
      </c>
      <c r="AF282" s="32" t="str">
        <f t="shared" si="288"/>
        <v>249,914648392112</v>
      </c>
      <c r="AG282" s="32" t="str">
        <f t="shared" si="270"/>
        <v>1+28,7984535665681i</v>
      </c>
      <c r="AH282" s="32">
        <f t="shared" si="289"/>
        <v>28.8158103794736</v>
      </c>
      <c r="AI282" s="32">
        <f t="shared" si="290"/>
        <v>1.53608618628412</v>
      </c>
      <c r="AJ282" s="32" t="str">
        <f t="shared" si="271"/>
        <v>1+0,430056906594084i</v>
      </c>
      <c r="AK282" s="32">
        <f t="shared" si="291"/>
        <v>1.08855360130279</v>
      </c>
      <c r="AL282" s="32">
        <f t="shared" si="292"/>
        <v>0.406146083820919</v>
      </c>
      <c r="AM282" s="32" t="str">
        <f t="shared" si="272"/>
        <v>1-0,0435206538145472i</v>
      </c>
      <c r="AN282" s="32">
        <f t="shared" si="293"/>
        <v>1.00094657565149</v>
      </c>
      <c r="AO282" s="32">
        <f t="shared" si="294"/>
        <v>-0.0434932082719562</v>
      </c>
      <c r="AP282" s="30" t="str">
        <f t="shared" si="295"/>
        <v>3,65695215908797-8,71349524445346i</v>
      </c>
      <c r="AQ282" s="32">
        <f t="shared" si="296"/>
        <v>19.5084318371971</v>
      </c>
      <c r="AR282" s="31">
        <f t="shared" si="297"/>
        <v>-67.2327762451877</v>
      </c>
      <c r="AS282" t="str">
        <f t="shared" si="273"/>
        <v>-0,000100699300699301</v>
      </c>
      <c r="AT282" t="str">
        <f t="shared" si="274"/>
        <v>0,00616286906324558i</v>
      </c>
      <c r="AU282">
        <f t="shared" si="298"/>
        <v>0.00616286906324558</v>
      </c>
      <c r="AV282">
        <f t="shared" si="299"/>
        <v>1.5707963267949</v>
      </c>
      <c r="AW282" t="str">
        <f t="shared" si="275"/>
        <v>1+0,31552759221641i</v>
      </c>
      <c r="AX282">
        <f t="shared" si="300"/>
        <v>1.04859795033649</v>
      </c>
      <c r="AY282">
        <f t="shared" si="301"/>
        <v>0.305640719470362</v>
      </c>
      <c r="AZ282" t="str">
        <f t="shared" si="276"/>
        <v>1+15,0849042491547i</v>
      </c>
      <c r="BA282">
        <f t="shared" si="302"/>
        <v>15.1180136329534</v>
      </c>
      <c r="BB282">
        <f t="shared" si="303"/>
        <v>1.50460174032304</v>
      </c>
      <c r="BC282" s="30" t="str">
        <f t="shared" si="304"/>
        <v>-0,219476320741507+0,0855905137865552i</v>
      </c>
      <c r="BD282" s="32">
        <f t="shared" si="305"/>
        <v>-12.5574151596822</v>
      </c>
      <c r="BE282" s="31">
        <f t="shared" si="306"/>
        <v>158.695406295555</v>
      </c>
      <c r="BF282" s="30" t="str">
        <f t="shared" si="307"/>
        <v>0,102607572693724+0,426812604729247i</v>
      </c>
      <c r="BG282" s="68">
        <f t="shared" si="308"/>
        <v>-7.15124339975006</v>
      </c>
      <c r="BH282" s="31">
        <f t="shared" si="309"/>
        <v>76.4823672841716</v>
      </c>
      <c r="BI282" s="30" t="str">
        <f t="shared" si="263"/>
        <v>-0,0568218701548607+2,22540629124046i</v>
      </c>
      <c r="BJ282" s="68">
        <f t="shared" si="310"/>
        <v>6.95101667751493</v>
      </c>
      <c r="BK282" s="31">
        <f t="shared" si="264"/>
        <v>91.4626300503677</v>
      </c>
      <c r="BL282" s="32">
        <f t="shared" si="311"/>
        <v>-7.15124339975006</v>
      </c>
      <c r="BM282" s="31">
        <f t="shared" si="312"/>
        <v>76.4823672841716</v>
      </c>
      <c r="BO282">
        <f t="shared" si="313"/>
        <v>0</v>
      </c>
      <c r="BP282">
        <f t="shared" si="314"/>
        <v>0</v>
      </c>
    </row>
    <row r="283" spans="14:68">
      <c r="N283" s="7">
        <v>65</v>
      </c>
      <c r="O283" s="18">
        <f t="shared" si="262"/>
        <v>4466.83592150963</v>
      </c>
      <c r="P283" s="86" t="str">
        <f t="shared" si="265"/>
        <v>75</v>
      </c>
      <c r="Q283" s="4" t="str">
        <f t="shared" si="266"/>
        <v>1+45,8410644582984i</v>
      </c>
      <c r="R283" s="4">
        <f t="shared" si="277"/>
        <v>45.8519704120757</v>
      </c>
      <c r="S283" s="4">
        <f t="shared" si="278"/>
        <v>1.54898528394669</v>
      </c>
      <c r="T283" s="4" t="str">
        <f t="shared" si="267"/>
        <v>1+0,440074218799665i</v>
      </c>
      <c r="U283" s="4">
        <f t="shared" si="279"/>
        <v>1.09254991558836</v>
      </c>
      <c r="V283" s="4">
        <f t="shared" si="280"/>
        <v>0.414569053513269</v>
      </c>
      <c r="W283" t="str">
        <f t="shared" si="268"/>
        <v>1-0,230842503165003i</v>
      </c>
      <c r="X283" s="4">
        <f t="shared" si="281"/>
        <v>1.02629832956479</v>
      </c>
      <c r="Y283" s="4">
        <f t="shared" si="282"/>
        <v>-0.226868414548665</v>
      </c>
      <c r="Z283" t="str">
        <f t="shared" si="269"/>
        <v>0,999837121443676+0,0724388099380384i</v>
      </c>
      <c r="AA283" s="4">
        <f t="shared" si="283"/>
        <v>1.00245780489855</v>
      </c>
      <c r="AB283" s="4">
        <f t="shared" si="284"/>
        <v>0.0723242417283824</v>
      </c>
      <c r="AC283" s="67" t="str">
        <f t="shared" si="285"/>
        <v>0,250209214406279-1,81239304858805i</v>
      </c>
      <c r="AD283" s="68">
        <f t="shared" si="286"/>
        <v>5.24704136482865</v>
      </c>
      <c r="AE283" s="31">
        <f t="shared" si="287"/>
        <v>-82.1397386809585</v>
      </c>
      <c r="AF283" s="32" t="str">
        <f t="shared" si="288"/>
        <v>249,914648392112</v>
      </c>
      <c r="AG283" s="32" t="str">
        <f t="shared" si="270"/>
        <v>1+29,4692557231918i</v>
      </c>
      <c r="AH283" s="32">
        <f t="shared" si="289"/>
        <v>29.4862176767193</v>
      </c>
      <c r="AI283" s="32">
        <f t="shared" si="290"/>
        <v>1.53687567257008</v>
      </c>
      <c r="AJ283" s="32" t="str">
        <f t="shared" si="271"/>
        <v>1+0,440074218799665i</v>
      </c>
      <c r="AK283" s="32">
        <f t="shared" si="291"/>
        <v>1.09254991558836</v>
      </c>
      <c r="AL283" s="32">
        <f t="shared" si="292"/>
        <v>0.414569053513269</v>
      </c>
      <c r="AM283" s="32" t="str">
        <f t="shared" si="272"/>
        <v>1-0,0445343800679028i</v>
      </c>
      <c r="AN283" s="32">
        <f t="shared" si="293"/>
        <v>1.00099116430068</v>
      </c>
      <c r="AO283" s="32">
        <f t="shared" si="294"/>
        <v>-0.0445049732116692</v>
      </c>
      <c r="AP283" s="30" t="str">
        <f t="shared" si="295"/>
        <v>3,64360355852125-8,52308529827325i</v>
      </c>
      <c r="AQ283" s="32">
        <f t="shared" si="296"/>
        <v>19.3408835384967</v>
      </c>
      <c r="AR283" s="31">
        <f t="shared" si="297"/>
        <v>-66.8533797239236</v>
      </c>
      <c r="AS283" t="str">
        <f t="shared" si="273"/>
        <v>-0,000100699300699301</v>
      </c>
      <c r="AT283" t="str">
        <f t="shared" si="274"/>
        <v>0,00630642072476306i</v>
      </c>
      <c r="AU283">
        <f t="shared" si="298"/>
        <v>0.00630642072476306</v>
      </c>
      <c r="AV283">
        <f t="shared" si="299"/>
        <v>1.5707963267949</v>
      </c>
      <c r="AW283" t="str">
        <f t="shared" si="275"/>
        <v>1+0,322877173986272i</v>
      </c>
      <c r="AX283">
        <f t="shared" si="300"/>
        <v>1.05083284564262</v>
      </c>
      <c r="AY283">
        <f t="shared" si="301"/>
        <v>0.312310679062151</v>
      </c>
      <c r="AZ283" t="str">
        <f t="shared" si="276"/>
        <v>1+15,4362768073862i</v>
      </c>
      <c r="BA283">
        <f t="shared" si="302"/>
        <v>15.4686341243902</v>
      </c>
      <c r="BB283">
        <f t="shared" si="303"/>
        <v>1.50610426392965</v>
      </c>
      <c r="BC283" s="30" t="str">
        <f t="shared" si="304"/>
        <v>-0,218543755681178+0,086530532484015i</v>
      </c>
      <c r="BD283" s="32">
        <f t="shared" si="305"/>
        <v>-12.576763155859</v>
      </c>
      <c r="BE283" s="31">
        <f t="shared" si="306"/>
        <v>158.3993340227</v>
      </c>
      <c r="BF283" s="30" t="str">
        <f t="shared" si="307"/>
        <v>0,102145674142266+0,417737920163875i</v>
      </c>
      <c r="BG283" s="68">
        <f t="shared" si="308"/>
        <v>-7.32972179103031</v>
      </c>
      <c r="BH283" s="31">
        <f t="shared" si="309"/>
        <v>76.2595953417417</v>
      </c>
      <c r="BI283" s="30" t="str">
        <f t="shared" si="263"/>
        <v>-0,0587796966262746+2,17795002715516i</v>
      </c>
      <c r="BJ283" s="68">
        <f t="shared" si="310"/>
        <v>6.76412038263775</v>
      </c>
      <c r="BK283" s="31">
        <f t="shared" si="264"/>
        <v>91.5459542987766</v>
      </c>
      <c r="BL283" s="32">
        <f t="shared" si="311"/>
        <v>-7.32972179103031</v>
      </c>
      <c r="BM283" s="31">
        <f t="shared" si="312"/>
        <v>76.2595953417417</v>
      </c>
      <c r="BO283">
        <f t="shared" si="313"/>
        <v>0</v>
      </c>
      <c r="BP283">
        <f t="shared" si="314"/>
        <v>0</v>
      </c>
    </row>
    <row r="284" spans="14:68">
      <c r="N284" s="7">
        <v>66</v>
      </c>
      <c r="O284" s="18">
        <f t="shared" ref="O284:O318" si="315">10^(3+(N284/100))</f>
        <v>4570.88189614875</v>
      </c>
      <c r="P284" s="86" t="str">
        <f t="shared" si="265"/>
        <v>75</v>
      </c>
      <c r="Q284" s="4" t="str">
        <f t="shared" si="266"/>
        <v>1+46,9088400188671i</v>
      </c>
      <c r="R284" s="4">
        <f t="shared" si="277"/>
        <v>46.9194977798747</v>
      </c>
      <c r="S284" s="4">
        <f t="shared" si="278"/>
        <v>1.54948161178626</v>
      </c>
      <c r="T284" s="4" t="str">
        <f t="shared" si="267"/>
        <v>1+0,450324864181125i</v>
      </c>
      <c r="U284" s="4">
        <f t="shared" si="279"/>
        <v>1.0967189627702</v>
      </c>
      <c r="V284" s="4">
        <f t="shared" si="280"/>
        <v>0.423124050610303</v>
      </c>
      <c r="W284" t="str">
        <f t="shared" si="268"/>
        <v>1-0,236219515809295i</v>
      </c>
      <c r="X284" s="4">
        <f t="shared" si="281"/>
        <v>1.02752112369974</v>
      </c>
      <c r="Y284" s="4">
        <f t="shared" si="282"/>
        <v>-0.231967338782761</v>
      </c>
      <c r="Z284" t="str">
        <f t="shared" si="269"/>
        <v>0,999829445213808+0,0741261265787521i</v>
      </c>
      <c r="AA284" s="4">
        <f t="shared" si="283"/>
        <v>1.00257348965456</v>
      </c>
      <c r="AB284" s="4">
        <f t="shared" si="284"/>
        <v>0.0740033815236948</v>
      </c>
      <c r="AC284" s="67" t="str">
        <f t="shared" si="285"/>
        <v>0,247992564633803-1,77951224002971i</v>
      </c>
      <c r="AD284" s="68">
        <f t="shared" si="286"/>
        <v>5.08955606770417</v>
      </c>
      <c r="AE284" s="31">
        <f t="shared" si="287"/>
        <v>-82.0663654061686</v>
      </c>
      <c r="AF284" s="32" t="str">
        <f t="shared" si="288"/>
        <v>249,914648392112</v>
      </c>
      <c r="AG284" s="32" t="str">
        <f t="shared" si="270"/>
        <v>1+30,1556828692717i</v>
      </c>
      <c r="AH284" s="32">
        <f t="shared" si="289"/>
        <v>30.1722589361832</v>
      </c>
      <c r="AI284" s="32">
        <f t="shared" si="290"/>
        <v>1.5376472288311</v>
      </c>
      <c r="AJ284" s="32" t="str">
        <f t="shared" si="271"/>
        <v>1+0,450324864181125i</v>
      </c>
      <c r="AK284" s="32">
        <f t="shared" si="291"/>
        <v>1.0967189627702</v>
      </c>
      <c r="AL284" s="32">
        <f t="shared" si="292"/>
        <v>0.423124050610303</v>
      </c>
      <c r="AM284" s="32" t="str">
        <f t="shared" si="272"/>
        <v>1-0,0455717190390527i</v>
      </c>
      <c r="AN284" s="32">
        <f t="shared" si="293"/>
        <v>1.00103785221947</v>
      </c>
      <c r="AO284" s="32">
        <f t="shared" si="294"/>
        <v>-0.0455402107890309</v>
      </c>
      <c r="AP284" s="30" t="str">
        <f t="shared" si="295"/>
        <v>3,63085439296518-8,33715366497813i</v>
      </c>
      <c r="AQ284" s="32">
        <f t="shared" si="296"/>
        <v>19.174594774455</v>
      </c>
      <c r="AR284" s="31">
        <f t="shared" si="297"/>
        <v>-66.4667361579064</v>
      </c>
      <c r="AS284" t="str">
        <f t="shared" si="273"/>
        <v>-0,000100699300699301</v>
      </c>
      <c r="AT284" t="str">
        <f t="shared" si="274"/>
        <v>0,00645331613402415i</v>
      </c>
      <c r="AU284">
        <f t="shared" si="298"/>
        <v>0.00645331613402415</v>
      </c>
      <c r="AV284">
        <f t="shared" si="299"/>
        <v>1.5707963267949</v>
      </c>
      <c r="AW284" t="str">
        <f t="shared" si="275"/>
        <v>1+0,330397949507566i</v>
      </c>
      <c r="AX284">
        <f t="shared" si="300"/>
        <v>1.05316798519458</v>
      </c>
      <c r="AY284">
        <f t="shared" si="301"/>
        <v>0.319106386616183</v>
      </c>
      <c r="AZ284" t="str">
        <f t="shared" si="276"/>
        <v>1+15,7958338839042i</v>
      </c>
      <c r="BA284">
        <f t="shared" si="302"/>
        <v>15.8274561470849</v>
      </c>
      <c r="BB284">
        <f t="shared" si="303"/>
        <v>1.50757286861865</v>
      </c>
      <c r="BC284" s="30" t="str">
        <f t="shared" si="304"/>
        <v>-0,217575696626171+0,087490836096459i</v>
      </c>
      <c r="BD284" s="32">
        <f t="shared" si="305"/>
        <v>-12.5968603189433</v>
      </c>
      <c r="BE284" s="31">
        <f t="shared" si="306"/>
        <v>158.094113511502</v>
      </c>
      <c r="BF284" s="30" t="str">
        <f t="shared" si="307"/>
        <v>0,101733858715772+0,408875692104779i</v>
      </c>
      <c r="BG284" s="68">
        <f t="shared" si="308"/>
        <v>-7.50730425123914</v>
      </c>
      <c r="BH284" s="31">
        <f t="shared" si="309"/>
        <v>76.0277481053335</v>
      </c>
      <c r="BI284" s="30" t="str">
        <f t="shared" si="263"/>
        <v>-0,0605611290839982+2,13162850312208i</v>
      </c>
      <c r="BJ284" s="68">
        <f t="shared" si="310"/>
        <v>6.57773445551168</v>
      </c>
      <c r="BK284" s="31">
        <f t="shared" si="264"/>
        <v>91.6273773535958</v>
      </c>
      <c r="BL284" s="32">
        <f t="shared" si="311"/>
        <v>-7.50730425123914</v>
      </c>
      <c r="BM284" s="31">
        <f t="shared" si="312"/>
        <v>76.0277481053335</v>
      </c>
      <c r="BO284">
        <f t="shared" si="313"/>
        <v>0</v>
      </c>
      <c r="BP284">
        <f t="shared" si="314"/>
        <v>0</v>
      </c>
    </row>
    <row r="285" spans="14:68">
      <c r="N285" s="7">
        <v>67</v>
      </c>
      <c r="O285" s="18">
        <f t="shared" si="315"/>
        <v>4677.35141287198</v>
      </c>
      <c r="P285" s="86" t="str">
        <f t="shared" si="265"/>
        <v>75</v>
      </c>
      <c r="Q285" s="4" t="str">
        <f t="shared" si="266"/>
        <v>1+48,0014872673257i</v>
      </c>
      <c r="R285" s="4">
        <f t="shared" si="277"/>
        <v>48.0119024813143</v>
      </c>
      <c r="S285" s="4">
        <f t="shared" si="278"/>
        <v>1.54996665197398</v>
      </c>
      <c r="T285" s="4" t="str">
        <f t="shared" si="267"/>
        <v>1+0,460814277766327i</v>
      </c>
      <c r="U285" s="4">
        <f t="shared" si="279"/>
        <v>1.10106757221948</v>
      </c>
      <c r="V285" s="4">
        <f t="shared" si="280"/>
        <v>0.431810601057653</v>
      </c>
      <c r="W285" t="str">
        <f t="shared" si="268"/>
        <v>1-0,241721775167605i</v>
      </c>
      <c r="X285" s="4">
        <f t="shared" si="281"/>
        <v>1.02879998862275</v>
      </c>
      <c r="Y285" s="4">
        <f t="shared" si="282"/>
        <v>-0.237172345677456</v>
      </c>
      <c r="Z285" t="str">
        <f t="shared" si="269"/>
        <v>0,999821407214372+0,0758527458729532i</v>
      </c>
      <c r="AA285" s="4">
        <f t="shared" si="283"/>
        <v>1.00269461222278</v>
      </c>
      <c r="AB285" s="4">
        <f t="shared" si="284"/>
        <v>0.0757212412372669</v>
      </c>
      <c r="AC285" s="67" t="str">
        <f t="shared" si="285"/>
        <v>0,245819102835343-1,74756772935602i</v>
      </c>
      <c r="AD285" s="68">
        <f t="shared" si="286"/>
        <v>4.93377179646678</v>
      </c>
      <c r="AE285" s="31">
        <f t="shared" si="287"/>
        <v>-81.9931045214441</v>
      </c>
      <c r="AF285" s="32" t="str">
        <f t="shared" si="288"/>
        <v>249,914648392112</v>
      </c>
      <c r="AG285" s="32" t="str">
        <f t="shared" si="270"/>
        <v>1+30,8580989575665i</v>
      </c>
      <c r="AH285" s="32">
        <f t="shared" si="289"/>
        <v>30.8742979074013</v>
      </c>
      <c r="AI285" s="32">
        <f t="shared" si="290"/>
        <v>1.53840126047996</v>
      </c>
      <c r="AJ285" s="32" t="str">
        <f t="shared" si="271"/>
        <v>1+0,460814277766327i</v>
      </c>
      <c r="AK285" s="32">
        <f t="shared" si="291"/>
        <v>1.10106757221948</v>
      </c>
      <c r="AL285" s="32">
        <f t="shared" si="292"/>
        <v>0.431810601057653</v>
      </c>
      <c r="AM285" s="32" t="str">
        <f t="shared" si="272"/>
        <v>1-0,04663322073885i</v>
      </c>
      <c r="AN285" s="32">
        <f t="shared" si="293"/>
        <v>1.00108673813835</v>
      </c>
      <c r="AO285" s="32">
        <f t="shared" si="294"/>
        <v>-0.0465994610198038</v>
      </c>
      <c r="AP285" s="30" t="str">
        <f t="shared" si="295"/>
        <v>3,61867780208034-8,1556044744493i</v>
      </c>
      <c r="AQ285" s="32">
        <f t="shared" si="296"/>
        <v>19.0096060499</v>
      </c>
      <c r="AR285" s="31">
        <f t="shared" si="297"/>
        <v>-66.0729268775162</v>
      </c>
      <c r="AS285" t="str">
        <f t="shared" si="273"/>
        <v>-0,000100699300699301</v>
      </c>
      <c r="AT285" t="str">
        <f t="shared" si="274"/>
        <v>0,00660363317691924i</v>
      </c>
      <c r="AU285">
        <f t="shared" si="298"/>
        <v>0.00660363317691924</v>
      </c>
      <c r="AV285">
        <f t="shared" si="299"/>
        <v>1.5707963267949</v>
      </c>
      <c r="AW285" t="str">
        <f t="shared" si="275"/>
        <v>1+0,338093906395022i</v>
      </c>
      <c r="AX285">
        <f t="shared" si="300"/>
        <v>1.05560763995977</v>
      </c>
      <c r="AY285">
        <f t="shared" si="301"/>
        <v>0.326028933748867</v>
      </c>
      <c r="AZ285" t="str">
        <f t="shared" si="276"/>
        <v>1+16,1637661206301i</v>
      </c>
      <c r="BA285">
        <f t="shared" si="302"/>
        <v>16.194669962751</v>
      </c>
      <c r="BB285">
        <f t="shared" si="303"/>
        <v>1.50900830770954</v>
      </c>
      <c r="BC285" s="30" t="str">
        <f t="shared" si="304"/>
        <v>-0,216571163923044+0,0884704662945103i</v>
      </c>
      <c r="BD285" s="32">
        <f t="shared" si="305"/>
        <v>-12.6177381825237</v>
      </c>
      <c r="BE285" s="31">
        <f t="shared" si="306"/>
        <v>157.779725378975</v>
      </c>
      <c r="BF285" s="30" t="str">
        <f t="shared" si="307"/>
        <v>0,101370802681797+0,400220507832925i</v>
      </c>
      <c r="BG285" s="68">
        <f t="shared" si="308"/>
        <v>-7.68396638605689</v>
      </c>
      <c r="BH285" s="31">
        <f t="shared" si="309"/>
        <v>75.7866208575305</v>
      </c>
      <c r="BI285" s="30" t="str">
        <f t="shared" si="263"/>
        <v>-0,0621711326908977+2,08641486604711i</v>
      </c>
      <c r="BJ285" s="68">
        <f t="shared" si="310"/>
        <v>6.39186786737629</v>
      </c>
      <c r="BK285" s="31">
        <f t="shared" si="264"/>
        <v>91.7067985014584</v>
      </c>
      <c r="BL285" s="32">
        <f t="shared" si="311"/>
        <v>-7.68396638605689</v>
      </c>
      <c r="BM285" s="31">
        <f t="shared" si="312"/>
        <v>75.7866208575305</v>
      </c>
      <c r="BO285">
        <f t="shared" si="313"/>
        <v>0</v>
      </c>
      <c r="BP285">
        <f t="shared" si="314"/>
        <v>0</v>
      </c>
    </row>
    <row r="286" spans="14:68">
      <c r="N286" s="7">
        <v>68</v>
      </c>
      <c r="O286" s="18">
        <f t="shared" si="315"/>
        <v>4786.30092322638</v>
      </c>
      <c r="P286" s="86" t="str">
        <f t="shared" si="265"/>
        <v>75</v>
      </c>
      <c r="Q286" s="4" t="str">
        <f t="shared" si="266"/>
        <v>1+49,1195855397083i</v>
      </c>
      <c r="R286" s="4">
        <f t="shared" si="277"/>
        <v>49.1297637241695</v>
      </c>
      <c r="S286" s="4">
        <f t="shared" si="278"/>
        <v>1.55044066077114</v>
      </c>
      <c r="T286" s="4" t="str">
        <f t="shared" si="267"/>
        <v>1+0,4715480211812i</v>
      </c>
      <c r="U286" s="4">
        <f t="shared" si="279"/>
        <v>1.1056027931766</v>
      </c>
      <c r="V286" s="4">
        <f t="shared" si="280"/>
        <v>0.440628065916359</v>
      </c>
      <c r="W286" t="str">
        <f t="shared" si="268"/>
        <v>1-0,247352198610674i</v>
      </c>
      <c r="X286" s="4">
        <f t="shared" si="281"/>
        <v>1.0301374229478</v>
      </c>
      <c r="Y286" s="4">
        <f t="shared" si="282"/>
        <v>-0.242485066384726</v>
      </c>
      <c r="Z286" t="str">
        <f t="shared" si="269"/>
        <v>0,999812990395692+0,0776195832970459i</v>
      </c>
      <c r="AA286" s="4">
        <f t="shared" si="283"/>
        <v>1.00282142751099</v>
      </c>
      <c r="AB286" s="4">
        <f t="shared" si="284"/>
        <v>0.0774786949197853</v>
      </c>
      <c r="AC286" s="67" t="str">
        <f t="shared" si="285"/>
        <v>0,243684270348162-1,716542490057i</v>
      </c>
      <c r="AD286" s="68">
        <f t="shared" si="286"/>
        <v>4.77974549197345</v>
      </c>
      <c r="AE286" s="31">
        <f t="shared" si="287"/>
        <v>-81.9201508555213</v>
      </c>
      <c r="AF286" s="32" t="str">
        <f t="shared" si="288"/>
        <v>249,914648392112</v>
      </c>
      <c r="AG286" s="32" t="str">
        <f t="shared" si="270"/>
        <v>1+31,5768764183839i</v>
      </c>
      <c r="AH286" s="32">
        <f t="shared" si="289"/>
        <v>31.5927068220165</v>
      </c>
      <c r="AI286" s="32">
        <f t="shared" si="290"/>
        <v>1.53913816388255</v>
      </c>
      <c r="AJ286" s="32" t="str">
        <f t="shared" si="271"/>
        <v>1+0,4715480211812i</v>
      </c>
      <c r="AK286" s="32">
        <f t="shared" si="291"/>
        <v>1.1056027931766</v>
      </c>
      <c r="AL286" s="32">
        <f t="shared" si="292"/>
        <v>0.440628065916359</v>
      </c>
      <c r="AM286" s="32" t="str">
        <f t="shared" si="272"/>
        <v>1-0,0477194479895467i</v>
      </c>
      <c r="AN286" s="32">
        <f t="shared" si="293"/>
        <v>1.00113792542108</v>
      </c>
      <c r="AO286" s="32">
        <f t="shared" si="294"/>
        <v>-0.0476832760191486</v>
      </c>
      <c r="AP286" s="30" t="str">
        <f t="shared" si="295"/>
        <v>3,60704812402373-7,9783439997379i</v>
      </c>
      <c r="AQ286" s="32">
        <f t="shared" si="296"/>
        <v>18.8459583226608</v>
      </c>
      <c r="AR286" s="31">
        <f t="shared" si="297"/>
        <v>-65.6720428352196</v>
      </c>
      <c r="AS286" t="str">
        <f t="shared" si="273"/>
        <v>-0,000100699300699301</v>
      </c>
      <c r="AT286" t="str">
        <f t="shared" si="274"/>
        <v>0,00675745155353415i</v>
      </c>
      <c r="AU286">
        <f t="shared" si="298"/>
        <v>0.00675745155353415</v>
      </c>
      <c r="AV286">
        <f t="shared" si="299"/>
        <v>1.5707963267949</v>
      </c>
      <c r="AW286" t="str">
        <f t="shared" si="275"/>
        <v>1+0,345969125146852i</v>
      </c>
      <c r="AX286">
        <f t="shared" si="300"/>
        <v>1.05815624345126</v>
      </c>
      <c r="AY286">
        <f t="shared" si="301"/>
        <v>0.333079336078434</v>
      </c>
      <c r="AZ286" t="str">
        <f t="shared" si="276"/>
        <v>1+16,5402686001058i</v>
      </c>
      <c r="BA286">
        <f t="shared" si="302"/>
        <v>16.5704702819095</v>
      </c>
      <c r="BB286">
        <f t="shared" si="303"/>
        <v>1.51041131861614</v>
      </c>
      <c r="BC286" s="30" t="str">
        <f t="shared" si="304"/>
        <v>-0,215529182971001+0,0894684070117643i</v>
      </c>
      <c r="BD286" s="32">
        <f t="shared" si="305"/>
        <v>-12.6394290143704</v>
      </c>
      <c r="BE286" s="31">
        <f t="shared" si="306"/>
        <v>157.456153685181</v>
      </c>
      <c r="BF286" s="30" t="str">
        <f t="shared" si="307"/>
        <v>0,101055250462383+0,391767043898867i</v>
      </c>
      <c r="BG286" s="68">
        <f t="shared" si="308"/>
        <v>-7.85968352239698</v>
      </c>
      <c r="BH286" s="31">
        <f t="shared" si="309"/>
        <v>75.5360028296594</v>
      </c>
      <c r="BI286" s="30" t="str">
        <f t="shared" si="263"/>
        <v>-0,0636144068594985+2,04228281339627i</v>
      </c>
      <c r="BJ286" s="68">
        <f t="shared" si="310"/>
        <v>6.20652930829034</v>
      </c>
      <c r="BK286" s="31">
        <f t="shared" si="264"/>
        <v>91.784110849961</v>
      </c>
      <c r="BL286" s="32">
        <f t="shared" si="311"/>
        <v>-7.85968352239698</v>
      </c>
      <c r="BM286" s="31">
        <f t="shared" si="312"/>
        <v>75.5360028296594</v>
      </c>
      <c r="BO286">
        <f t="shared" si="313"/>
        <v>0</v>
      </c>
      <c r="BP286">
        <f t="shared" si="314"/>
        <v>0</v>
      </c>
    </row>
    <row r="287" spans="14:68">
      <c r="N287" s="7">
        <v>69</v>
      </c>
      <c r="O287" s="18">
        <f t="shared" si="315"/>
        <v>4897.78819368446</v>
      </c>
      <c r="P287" s="86" t="str">
        <f t="shared" si="265"/>
        <v>75</v>
      </c>
      <c r="Q287" s="4" t="str">
        <f t="shared" si="266"/>
        <v>1+50,2637276665185i</v>
      </c>
      <c r="R287" s="4">
        <f t="shared" si="277"/>
        <v>50.2736742135875</v>
      </c>
      <c r="S287" s="4">
        <f t="shared" si="278"/>
        <v>1.55090388865099</v>
      </c>
      <c r="T287" s="4" t="str">
        <f t="shared" si="267"/>
        <v>1+0,482531785598578i</v>
      </c>
      <c r="U287" s="4">
        <f t="shared" si="279"/>
        <v>1.11033189817863</v>
      </c>
      <c r="V287" s="4">
        <f t="shared" si="280"/>
        <v>0.449575635005314</v>
      </c>
      <c r="W287" t="str">
        <f t="shared" si="268"/>
        <v>1-0,253113771463539i</v>
      </c>
      <c r="X287" s="4">
        <f t="shared" si="281"/>
        <v>1.03153603005639</v>
      </c>
      <c r="Y287" s="4">
        <f t="shared" si="282"/>
        <v>-0.247907117647269</v>
      </c>
      <c r="Z287" t="str">
        <f t="shared" si="269"/>
        <v>0,99980417690457+0,0794275756516192i</v>
      </c>
      <c r="AA287" s="4">
        <f t="shared" si="283"/>
        <v>1.00295420230922</v>
      </c>
      <c r="AB287" s="4">
        <f t="shared" si="284"/>
        <v>0.079276635013827</v>
      </c>
      <c r="AC287" s="67" t="str">
        <f t="shared" si="285"/>
        <v>0,24158359378089-1,68641994876369i</v>
      </c>
      <c r="AD287" s="68">
        <f t="shared" si="286"/>
        <v>4.62753506042854</v>
      </c>
      <c r="AE287" s="31">
        <f t="shared" si="287"/>
        <v>-81.8477089451436</v>
      </c>
      <c r="AF287" s="32" t="str">
        <f t="shared" si="288"/>
        <v>249,914648392112</v>
      </c>
      <c r="AG287" s="32" t="str">
        <f t="shared" si="270"/>
        <v>1+32,3123963570476i</v>
      </c>
      <c r="AH287" s="32">
        <f t="shared" si="289"/>
        <v>32.3278665911461</v>
      </c>
      <c r="AI287" s="32">
        <f t="shared" si="290"/>
        <v>1.53985832655169</v>
      </c>
      <c r="AJ287" s="32" t="str">
        <f t="shared" si="271"/>
        <v>1+0,482531785598578i</v>
      </c>
      <c r="AK287" s="32">
        <f t="shared" si="291"/>
        <v>1.11033189817863</v>
      </c>
      <c r="AL287" s="32">
        <f t="shared" si="292"/>
        <v>0.449575635005314</v>
      </c>
      <c r="AM287" s="32" t="str">
        <f t="shared" si="272"/>
        <v>1-0,048830976723209i</v>
      </c>
      <c r="AN287" s="32">
        <f t="shared" si="293"/>
        <v>1.0011915222812</v>
      </c>
      <c r="AO287" s="32">
        <f t="shared" si="294"/>
        <v>-0.0487922202494631</v>
      </c>
      <c r="AP287" s="30" t="str">
        <f t="shared" si="295"/>
        <v>3,59594084242113-7,8052806193451i</v>
      </c>
      <c r="AQ287" s="32">
        <f t="shared" si="296"/>
        <v>18.6836929468852</v>
      </c>
      <c r="AR287" s="31">
        <f t="shared" si="297"/>
        <v>-65.2641849951384</v>
      </c>
      <c r="AS287" t="str">
        <f t="shared" si="273"/>
        <v>-0,000100699300699301</v>
      </c>
      <c r="AT287" t="str">
        <f t="shared" si="274"/>
        <v>0,00691485282040819i</v>
      </c>
      <c r="AU287">
        <f t="shared" si="298"/>
        <v>0.00691485282040819</v>
      </c>
      <c r="AV287">
        <f t="shared" si="299"/>
        <v>1.5707963267949</v>
      </c>
      <c r="AW287" t="str">
        <f t="shared" si="275"/>
        <v>1+0,354027781308276i</v>
      </c>
      <c r="AX287">
        <f t="shared" si="300"/>
        <v>1.0608183963045</v>
      </c>
      <c r="AY287">
        <f t="shared" si="301"/>
        <v>0.340258527207128</v>
      </c>
      <c r="AZ287" t="str">
        <f t="shared" si="276"/>
        <v>1+16,9255409489297i</v>
      </c>
      <c r="BA287">
        <f t="shared" si="302"/>
        <v>16.9550563671695</v>
      </c>
      <c r="BB287">
        <f t="shared" si="303"/>
        <v>1.51178262312701</v>
      </c>
      <c r="BC287" s="30" t="str">
        <f t="shared" si="304"/>
        <v>-0,214448787526161+0,090483582470863i</v>
      </c>
      <c r="BD287" s="32">
        <f t="shared" si="305"/>
        <v>-12.661965814204</v>
      </c>
      <c r="BE287" s="31">
        <f t="shared" si="306"/>
        <v>157.123386294089</v>
      </c>
      <c r="BF287" s="30" t="str">
        <f t="shared" si="307"/>
        <v>0,100786009741943+0,383510062303784i</v>
      </c>
      <c r="BG287" s="68">
        <f t="shared" si="308"/>
        <v>-8.03443075377542</v>
      </c>
      <c r="BH287" s="31">
        <f t="shared" si="309"/>
        <v>75.2756773489453</v>
      </c>
      <c r="BI287" s="30" t="str">
        <f t="shared" si="263"/>
        <v>-0,0648954010442723+1,99920657489556i</v>
      </c>
      <c r="BJ287" s="68">
        <f t="shared" si="310"/>
        <v>6.02172713268131</v>
      </c>
      <c r="BK287" s="31">
        <f t="shared" si="264"/>
        <v>91.8592012989505</v>
      </c>
      <c r="BL287" s="32">
        <f t="shared" si="311"/>
        <v>-8.03443075377542</v>
      </c>
      <c r="BM287" s="31">
        <f t="shared" si="312"/>
        <v>75.2756773489453</v>
      </c>
      <c r="BO287">
        <f t="shared" si="313"/>
        <v>0</v>
      </c>
      <c r="BP287">
        <f t="shared" si="314"/>
        <v>0</v>
      </c>
    </row>
    <row r="288" spans="14:68">
      <c r="N288" s="7">
        <v>70</v>
      </c>
      <c r="O288" s="18">
        <f t="shared" si="315"/>
        <v>5011.87233627273</v>
      </c>
      <c r="P288" s="86" t="str">
        <f t="shared" si="265"/>
        <v>75</v>
      </c>
      <c r="Q288" s="4" t="str">
        <f t="shared" si="266"/>
        <v>1+51,4345202870567i</v>
      </c>
      <c r="R288" s="4">
        <f t="shared" si="277"/>
        <v>51.44424046635</v>
      </c>
      <c r="S288" s="4">
        <f t="shared" si="278"/>
        <v>1.55135658042742</v>
      </c>
      <c r="T288" s="4" t="str">
        <f t="shared" si="267"/>
        <v>1+0,493771394755745i</v>
      </c>
      <c r="U288" s="4">
        <f t="shared" si="279"/>
        <v>1.11526238629259</v>
      </c>
      <c r="V288" s="4">
        <f t="shared" si="280"/>
        <v>0.458652320779918</v>
      </c>
      <c r="W288" t="str">
        <f t="shared" si="268"/>
        <v>1-0,259009548588393i</v>
      </c>
      <c r="X288" s="4">
        <f t="shared" si="281"/>
        <v>1.03299852190599</v>
      </c>
      <c r="Y288" s="4">
        <f t="shared" si="282"/>
        <v>-0.253440098555958</v>
      </c>
      <c r="Z288" t="str">
        <f t="shared" si="269"/>
        <v>0,999794948046407+0,0812776815581515i</v>
      </c>
      <c r="AA288" s="4">
        <f t="shared" si="283"/>
        <v>1.00309321583719</v>
      </c>
      <c r="AB288" s="4">
        <f t="shared" si="284"/>
        <v>0.0811159726445292</v>
      </c>
      <c r="AC288" s="67" t="str">
        <f t="shared" si="285"/>
        <v>0,239512675979653-1,65718397594128i</v>
      </c>
      <c r="AD288" s="68">
        <f t="shared" si="286"/>
        <v>4.47719932010535</v>
      </c>
      <c r="AE288" s="31">
        <f t="shared" si="287"/>
        <v>-81.7759932240351</v>
      </c>
      <c r="AF288" s="32" t="str">
        <f t="shared" si="288"/>
        <v>249,914648392112</v>
      </c>
      <c r="AG288" s="32" t="str">
        <f t="shared" si="270"/>
        <v>1+33,065048755965i</v>
      </c>
      <c r="AH288" s="32">
        <f t="shared" si="289"/>
        <v>33.0801670073526</v>
      </c>
      <c r="AI288" s="32">
        <f t="shared" si="290"/>
        <v>1.54056212733747</v>
      </c>
      <c r="AJ288" s="32" t="str">
        <f t="shared" si="271"/>
        <v>1+0,493771394755745i</v>
      </c>
      <c r="AK288" s="32">
        <f t="shared" si="291"/>
        <v>1.11526238629259</v>
      </c>
      <c r="AL288" s="32">
        <f t="shared" si="292"/>
        <v>0.458652320779918</v>
      </c>
      <c r="AM288" s="32" t="str">
        <f t="shared" si="272"/>
        <v>1-0,0499683962870845i</v>
      </c>
      <c r="AN288" s="32">
        <f t="shared" si="293"/>
        <v>1.00124764200846</v>
      </c>
      <c r="AO288" s="32">
        <f t="shared" si="294"/>
        <v>-0.0499268707715983</v>
      </c>
      <c r="AP288" s="30" t="str">
        <f t="shared" si="295"/>
        <v>3,58533253564612-7,63632477982659i</v>
      </c>
      <c r="AQ288" s="32">
        <f t="shared" si="296"/>
        <v>18.5228516114434</v>
      </c>
      <c r="AR288" s="31">
        <f t="shared" si="297"/>
        <v>-64.8494647090706</v>
      </c>
      <c r="AS288" t="str">
        <f t="shared" si="273"/>
        <v>-0,000100699300699301</v>
      </c>
      <c r="AT288" t="str">
        <f t="shared" si="274"/>
        <v>0,00707592043377653i</v>
      </c>
      <c r="AU288">
        <f t="shared" si="298"/>
        <v>0.00707592043377653</v>
      </c>
      <c r="AV288">
        <f t="shared" si="299"/>
        <v>1.5707963267949</v>
      </c>
      <c r="AW288" t="str">
        <f t="shared" si="275"/>
        <v>1+0,362274147685463i</v>
      </c>
      <c r="AX288">
        <f t="shared" si="300"/>
        <v>1.06359887085368</v>
      </c>
      <c r="AY288">
        <f t="shared" si="301"/>
        <v>0.347567352530648</v>
      </c>
      <c r="AZ288" t="str">
        <f t="shared" si="276"/>
        <v>1+17,3197874436007i</v>
      </c>
      <c r="BA288">
        <f t="shared" si="302"/>
        <v>17.3486321389183</v>
      </c>
      <c r="BB288">
        <f t="shared" si="303"/>
        <v>1.51312292768465</v>
      </c>
      <c r="BC288" s="30" t="str">
        <f t="shared" si="304"/>
        <v>-0,213329023253409+0,091514855342424i</v>
      </c>
      <c r="BD288" s="32">
        <f t="shared" si="305"/>
        <v>-12.6853823084826</v>
      </c>
      <c r="BE288" s="31">
        <f t="shared" si="306"/>
        <v>156.781415244268</v>
      </c>
      <c r="BF288" s="30" t="str">
        <f t="shared" si="307"/>
        <v>0,1005619466105+0,375444406833709i</v>
      </c>
      <c r="BG288" s="68">
        <f t="shared" si="308"/>
        <v>-8.20818298837729</v>
      </c>
      <c r="BH288" s="31">
        <f t="shared" si="309"/>
        <v>75.0054220202325</v>
      </c>
      <c r="BI288" s="30" t="str">
        <f t="shared" si="263"/>
        <v>-0,0660183302944568+1,95716089488035i</v>
      </c>
      <c r="BJ288" s="68">
        <f t="shared" si="310"/>
        <v>5.83746930296079</v>
      </c>
      <c r="BK288" s="31">
        <f t="shared" si="264"/>
        <v>91.931950535197</v>
      </c>
      <c r="BL288" s="32">
        <f t="shared" si="311"/>
        <v>-8.20818298837729</v>
      </c>
      <c r="BM288" s="31">
        <f t="shared" si="312"/>
        <v>75.0054220202325</v>
      </c>
      <c r="BO288">
        <f t="shared" si="313"/>
        <v>0</v>
      </c>
      <c r="BP288">
        <f t="shared" si="314"/>
        <v>0</v>
      </c>
    </row>
    <row r="289" spans="14:68">
      <c r="N289" s="7">
        <v>71</v>
      </c>
      <c r="O289" s="18">
        <f t="shared" si="315"/>
        <v>5128.61383991365</v>
      </c>
      <c r="P289" s="86" t="str">
        <f t="shared" si="265"/>
        <v>75</v>
      </c>
      <c r="Q289" s="4" t="str">
        <f t="shared" si="266"/>
        <v>1+52,6325841710674i</v>
      </c>
      <c r="R289" s="4">
        <f t="shared" si="277"/>
        <v>52.6420831324568</v>
      </c>
      <c r="S289" s="4">
        <f t="shared" si="278"/>
        <v>1.55179897538101</v>
      </c>
      <c r="T289" s="4" t="str">
        <f t="shared" si="267"/>
        <v>1+0,505272808042247i</v>
      </c>
      <c r="U289" s="4">
        <f t="shared" si="279"/>
        <v>1.1204019861402</v>
      </c>
      <c r="V289" s="4">
        <f t="shared" si="280"/>
        <v>0.46785695249671</v>
      </c>
      <c r="W289" t="str">
        <f t="shared" si="268"/>
        <v>1-0,265042656004304i</v>
      </c>
      <c r="X289" s="4">
        <f t="shared" si="281"/>
        <v>1.03452772292569</v>
      </c>
      <c r="Y289" s="4">
        <f t="shared" si="282"/>
        <v>-0.259085587111578</v>
      </c>
      <c r="Z289" t="str">
        <f t="shared" si="269"/>
        <v>0,99978528424556+0,0831708819672831i</v>
      </c>
      <c r="AA289" s="4">
        <f t="shared" si="283"/>
        <v>1.0032387603164</v>
      </c>
      <c r="AB289" s="4">
        <f t="shared" si="284"/>
        <v>0.0829976379075344</v>
      </c>
      <c r="AC289" s="67" t="str">
        <f t="shared" si="285"/>
        <v>0,237467187186483-1,62881887666064i</v>
      </c>
      <c r="AD289" s="68">
        <f t="shared" si="286"/>
        <v>4.32879794226922</v>
      </c>
      <c r="AE289" s="31">
        <f t="shared" si="287"/>
        <v>-81.7052281839626</v>
      </c>
      <c r="AF289" s="32" t="str">
        <f t="shared" si="288"/>
        <v>249,914648392112</v>
      </c>
      <c r="AG289" s="32" t="str">
        <f t="shared" si="270"/>
        <v>1+33,8352326814004i</v>
      </c>
      <c r="AH289" s="32">
        <f t="shared" si="289"/>
        <v>33.8500069513214</v>
      </c>
      <c r="AI289" s="32">
        <f t="shared" si="290"/>
        <v>1.54124993661383</v>
      </c>
      <c r="AJ289" s="32" t="str">
        <f t="shared" si="271"/>
        <v>1+0,505272808042247i</v>
      </c>
      <c r="AK289" s="32">
        <f t="shared" si="291"/>
        <v>1.1204019861402</v>
      </c>
      <c r="AL289" s="32">
        <f t="shared" si="292"/>
        <v>0.46785695249671</v>
      </c>
      <c r="AM289" s="32" t="str">
        <f t="shared" si="272"/>
        <v>1-0,0511323097560812i</v>
      </c>
      <c r="AN289" s="32">
        <f t="shared" si="293"/>
        <v>1.00130640320583</v>
      </c>
      <c r="AO289" s="32">
        <f t="shared" si="294"/>
        <v>-0.0510878174993598</v>
      </c>
      <c r="AP289" s="30" t="str">
        <f t="shared" si="295"/>
        <v>3,5752008283087-7,47138895875414i</v>
      </c>
      <c r="AQ289" s="32">
        <f t="shared" si="296"/>
        <v>18.3634762734137</v>
      </c>
      <c r="AR289" s="31">
        <f t="shared" si="297"/>
        <v>-64.4280040761116</v>
      </c>
      <c r="AS289" t="str">
        <f t="shared" si="273"/>
        <v>-0,000100699300699301</v>
      </c>
      <c r="AT289" t="str">
        <f t="shared" si="274"/>
        <v>0,00724073979381971i</v>
      </c>
      <c r="AU289">
        <f t="shared" si="298"/>
        <v>0.00724073979381971</v>
      </c>
      <c r="AV289">
        <f t="shared" si="299"/>
        <v>1.5707963267949</v>
      </c>
      <c r="AW289" t="str">
        <f t="shared" si="275"/>
        <v>1+0,370712596611017i</v>
      </c>
      <c r="AX289">
        <f t="shared" si="300"/>
        <v>1.06650261569585</v>
      </c>
      <c r="AY289">
        <f t="shared" si="301"/>
        <v>0.355006562888395</v>
      </c>
      <c r="AZ289" t="str">
        <f t="shared" si="276"/>
        <v>1+17,7232171188288i</v>
      </c>
      <c r="BA289">
        <f t="shared" si="302"/>
        <v>17.7514062834792</v>
      </c>
      <c r="BB289">
        <f t="shared" si="303"/>
        <v>1.51443292366342</v>
      </c>
      <c r="BC289" s="30" t="str">
        <f t="shared" si="304"/>
        <v>-0,212168951527788+0,0925610250610407i</v>
      </c>
      <c r="BD289" s="32">
        <f t="shared" si="305"/>
        <v>-12.709712942009</v>
      </c>
      <c r="BE289" s="31">
        <f t="shared" si="306"/>
        <v>156.430237128621</v>
      </c>
      <c r="BF289" s="30" t="str">
        <f t="shared" si="307"/>
        <v>0,100381980734873+0,3675649995541i</v>
      </c>
      <c r="BG289" s="68">
        <f t="shared" si="308"/>
        <v>-8.38091499973978</v>
      </c>
      <c r="BH289" s="31">
        <f t="shared" si="309"/>
        <v>74.7250089446585</v>
      </c>
      <c r="BI289" s="30" t="str">
        <f t="shared" si="263"/>
        <v>-0,0669871905915113+1,91612101530249i</v>
      </c>
      <c r="BJ289" s="68">
        <f t="shared" si="310"/>
        <v>5.65376333140469</v>
      </c>
      <c r="BK289" s="31">
        <f t="shared" si="264"/>
        <v>92.0022330525095</v>
      </c>
      <c r="BL289" s="32">
        <f t="shared" si="311"/>
        <v>-8.38091499973978</v>
      </c>
      <c r="BM289" s="31">
        <f t="shared" si="312"/>
        <v>74.7250089446585</v>
      </c>
      <c r="BO289">
        <f t="shared" si="313"/>
        <v>0</v>
      </c>
      <c r="BP289">
        <f t="shared" si="314"/>
        <v>0</v>
      </c>
    </row>
    <row r="290" spans="14:68">
      <c r="N290" s="7">
        <v>72</v>
      </c>
      <c r="O290" s="18">
        <f t="shared" si="315"/>
        <v>5248.07460249773</v>
      </c>
      <c r="P290" s="86" t="str">
        <f t="shared" si="265"/>
        <v>75</v>
      </c>
      <c r="Q290" s="4" t="str">
        <f t="shared" si="266"/>
        <v>1+53,8585545478803i</v>
      </c>
      <c r="R290" s="4">
        <f t="shared" si="277"/>
        <v>53.8678373242049</v>
      </c>
      <c r="S290" s="4">
        <f t="shared" si="278"/>
        <v>1.55223130738238</v>
      </c>
      <c r="T290" s="4" t="str">
        <f t="shared" si="267"/>
        <v>1+0,517042123659651i</v>
      </c>
      <c r="U290" s="4">
        <f t="shared" si="279"/>
        <v>1.1257586587002</v>
      </c>
      <c r="V290" s="4">
        <f t="shared" si="280"/>
        <v>0.477188170715733</v>
      </c>
      <c r="W290" t="str">
        <f t="shared" si="268"/>
        <v>1-0,271216292544683i</v>
      </c>
      <c r="X290" s="4">
        <f t="shared" si="281"/>
        <v>1.03612657399648</v>
      </c>
      <c r="Y290" s="4">
        <f t="shared" si="282"/>
        <v>-0.264845136586125</v>
      </c>
      <c r="Z290" t="str">
        <f t="shared" si="269"/>
        <v>0,999775165003809+0,0851081806789307i</v>
      </c>
      <c r="AA290" s="4">
        <f t="shared" si="283"/>
        <v>1.00339114156787</v>
      </c>
      <c r="AB290" s="4">
        <f t="shared" si="284"/>
        <v>0.0849225801535173</v>
      </c>
      <c r="AC290" s="67" t="str">
        <f t="shared" si="285"/>
        <v>0,235442856375131-1,60130938144111i</v>
      </c>
      <c r="AD290" s="68">
        <f t="shared" si="286"/>
        <v>4.18239138620986</v>
      </c>
      <c r="AE290" s="31">
        <f t="shared" si="287"/>
        <v>-81.6356485046134</v>
      </c>
      <c r="AF290" s="32" t="str">
        <f t="shared" si="288"/>
        <v>249,914648392112</v>
      </c>
      <c r="AG290" s="32" t="str">
        <f t="shared" si="270"/>
        <v>1+34,6233564950659i</v>
      </c>
      <c r="AH290" s="32">
        <f t="shared" si="289"/>
        <v>34.6377946033581</v>
      </c>
      <c r="AI290" s="32">
        <f t="shared" si="290"/>
        <v>1.54192211646174</v>
      </c>
      <c r="AJ290" s="32" t="str">
        <f t="shared" si="271"/>
        <v>1+0,517042123659651i</v>
      </c>
      <c r="AK290" s="32">
        <f t="shared" si="291"/>
        <v>1.1257586587002</v>
      </c>
      <c r="AL290" s="32">
        <f t="shared" si="292"/>
        <v>0.477188170715733</v>
      </c>
      <c r="AM290" s="32" t="str">
        <f t="shared" si="272"/>
        <v>1-0,0523233342525268i</v>
      </c>
      <c r="AN290" s="32">
        <f t="shared" si="293"/>
        <v>1.00136793003736</v>
      </c>
      <c r="AO290" s="32">
        <f t="shared" si="294"/>
        <v>-0.0522756634571958</v>
      </c>
      <c r="AP290" s="30" t="str">
        <f t="shared" si="295"/>
        <v>3,56552434486079-7,31038762806248i</v>
      </c>
      <c r="AQ290" s="32">
        <f t="shared" si="296"/>
        <v>18.2056090866837</v>
      </c>
      <c r="AR290" s="31">
        <f t="shared" si="297"/>
        <v>-63.9999362829014</v>
      </c>
      <c r="AS290" t="str">
        <f t="shared" si="273"/>
        <v>-0,000100699300699301</v>
      </c>
      <c r="AT290" t="str">
        <f t="shared" si="274"/>
        <v>0,0074093982899441i</v>
      </c>
      <c r="AU290">
        <f t="shared" si="298"/>
        <v>0.0074093982899441</v>
      </c>
      <c r="AV290">
        <f t="shared" si="299"/>
        <v>1.5707963267949</v>
      </c>
      <c r="AW290" t="str">
        <f t="shared" si="275"/>
        <v>1+0,379347602262256i</v>
      </c>
      <c r="AX290">
        <f t="shared" si="300"/>
        <v>1.06953476023088</v>
      </c>
      <c r="AY290">
        <f t="shared" si="301"/>
        <v>0.362576808070576</v>
      </c>
      <c r="AZ290" t="str">
        <f t="shared" si="276"/>
        <v>1+18,1360438783678i</v>
      </c>
      <c r="BA290">
        <f t="shared" si="302"/>
        <v>18.1635923637942</v>
      </c>
      <c r="BB290">
        <f t="shared" si="303"/>
        <v>1.51571328764578</v>
      </c>
      <c r="BC290" s="30" t="str">
        <f t="shared" si="304"/>
        <v>-0,210967653485331+0,0936208263239797i</v>
      </c>
      <c r="BD290" s="32">
        <f t="shared" si="305"/>
        <v>-12.7349928661537</v>
      </c>
      <c r="BE290" s="31">
        <f t="shared" si="306"/>
        <v>156.069853482233</v>
      </c>
      <c r="BF290" s="30" t="str">
        <f t="shared" si="307"/>
        <v>0,100245080551512+0,359866837472596i</v>
      </c>
      <c r="BG290" s="68">
        <f t="shared" si="308"/>
        <v>-8.55260147994383</v>
      </c>
      <c r="BH290" s="31">
        <f t="shared" si="309"/>
        <v>74.4342049776197</v>
      </c>
      <c r="BI290" s="30" t="str">
        <f t="shared" si="263"/>
        <v>-0,0678057739922957+1,87606265940467i</v>
      </c>
      <c r="BJ290" s="68">
        <f t="shared" si="310"/>
        <v>5.47061622053</v>
      </c>
      <c r="BK290" s="31">
        <f t="shared" si="264"/>
        <v>92.0699171993316</v>
      </c>
      <c r="BL290" s="32">
        <f t="shared" si="311"/>
        <v>-8.55260147994383</v>
      </c>
      <c r="BM290" s="31">
        <f t="shared" si="312"/>
        <v>74.4342049776197</v>
      </c>
      <c r="BO290">
        <f t="shared" si="313"/>
        <v>0</v>
      </c>
      <c r="BP290">
        <f t="shared" si="314"/>
        <v>0</v>
      </c>
    </row>
    <row r="291" spans="14:68">
      <c r="N291" s="7">
        <v>73</v>
      </c>
      <c r="O291" s="18">
        <f t="shared" si="315"/>
        <v>5370.31796370253</v>
      </c>
      <c r="P291" s="86" t="str">
        <f t="shared" si="265"/>
        <v>75</v>
      </c>
      <c r="Q291" s="4" t="str">
        <f t="shared" si="266"/>
        <v>1+55,1130814432165i</v>
      </c>
      <c r="R291" s="4">
        <f t="shared" si="277"/>
        <v>55.1221529529337</v>
      </c>
      <c r="S291" s="4">
        <f t="shared" si="278"/>
        <v>1.55265380501283</v>
      </c>
      <c r="T291" s="4" t="str">
        <f t="shared" si="267"/>
        <v>1+0,529085581854879i</v>
      </c>
      <c r="U291" s="4">
        <f t="shared" si="279"/>
        <v>1.13134059987553</v>
      </c>
      <c r="V291" s="4">
        <f t="shared" si="280"/>
        <v>0.486644422193911</v>
      </c>
      <c r="W291" t="str">
        <f t="shared" si="268"/>
        <v>1-0,277533731553341i</v>
      </c>
      <c r="X291" s="4">
        <f t="shared" si="281"/>
        <v>1.03779813651303</v>
      </c>
      <c r="Y291" s="4">
        <f t="shared" si="282"/>
        <v>-0.270720271679468</v>
      </c>
      <c r="Z291" t="str">
        <f t="shared" si="269"/>
        <v>0,999764568856888+0,0870906048745139i</v>
      </c>
      <c r="AA291" s="4">
        <f t="shared" si="283"/>
        <v>1.00355067963656</v>
      </c>
      <c r="AB291" s="4">
        <f t="shared" si="284"/>
        <v>0.086891768268529</v>
      </c>
      <c r="AC291" s="67" t="str">
        <f t="shared" si="285"/>
        <v>0,233435462750071-1,57464063715684i</v>
      </c>
      <c r="AD291" s="68">
        <f t="shared" si="286"/>
        <v>4.03804082832216</v>
      </c>
      <c r="AE291" s="31">
        <f t="shared" si="287"/>
        <v>-81.567499148954</v>
      </c>
      <c r="AF291" s="32" t="str">
        <f t="shared" si="288"/>
        <v>249,914648392112</v>
      </c>
      <c r="AG291" s="32" t="str">
        <f t="shared" si="270"/>
        <v>1+35,4298380706392i</v>
      </c>
      <c r="AH291" s="32">
        <f t="shared" si="289"/>
        <v>35.4439476598151</v>
      </c>
      <c r="AI291" s="32">
        <f t="shared" si="290"/>
        <v>1.54257902084882</v>
      </c>
      <c r="AJ291" s="32" t="str">
        <f t="shared" si="271"/>
        <v>1+0,529085581854879i</v>
      </c>
      <c r="AK291" s="32">
        <f t="shared" si="291"/>
        <v>1.13134059987553</v>
      </c>
      <c r="AL291" s="32">
        <f t="shared" si="292"/>
        <v>0.486644422193911</v>
      </c>
      <c r="AM291" s="32" t="str">
        <f t="shared" si="272"/>
        <v>1-0,0535421012733742i</v>
      </c>
      <c r="AN291" s="32">
        <f t="shared" si="293"/>
        <v>1.00143235248756</v>
      </c>
      <c r="AO291" s="32">
        <f t="shared" si="294"/>
        <v>-0.0534910250409513</v>
      </c>
      <c r="AP291" s="30" t="str">
        <f t="shared" si="295"/>
        <v>3,55628266522933-7,15323721780852i</v>
      </c>
      <c r="AQ291" s="32">
        <f t="shared" si="296"/>
        <v>18.0492923257417</v>
      </c>
      <c r="AR291" s="31">
        <f t="shared" si="297"/>
        <v>-63.5654059214417</v>
      </c>
      <c r="AS291" t="str">
        <f t="shared" si="273"/>
        <v>-0,000100699300699301</v>
      </c>
      <c r="AT291" t="str">
        <f t="shared" si="274"/>
        <v>0,0075819853471168i</v>
      </c>
      <c r="AU291">
        <f t="shared" si="298"/>
        <v>0.0075819853471168</v>
      </c>
      <c r="AV291">
        <f t="shared" si="299"/>
        <v>1.5707963267949</v>
      </c>
      <c r="AW291" t="str">
        <f t="shared" si="275"/>
        <v>1+0,388183743033473i</v>
      </c>
      <c r="AX291">
        <f t="shared" si="300"/>
        <v>1.0727006191643</v>
      </c>
      <c r="AY291">
        <f t="shared" si="301"/>
        <v>0.370278630200616</v>
      </c>
      <c r="AZ291" t="str">
        <f t="shared" si="276"/>
        <v>1+18,55848660843i</v>
      </c>
      <c r="BA291">
        <f t="shared" si="302"/>
        <v>18.585408932689</v>
      </c>
      <c r="BB291">
        <f t="shared" si="303"/>
        <v>1.51696468169664</v>
      </c>
      <c r="BC291" s="30" t="str">
        <f t="shared" si="304"/>
        <v>-0,209724234321115+0,0946929277995519i</v>
      </c>
      <c r="BD291" s="32">
        <f t="shared" si="305"/>
        <v>-12.7612579234957</v>
      </c>
      <c r="BE291" s="31">
        <f t="shared" si="306"/>
        <v>155.700271177243</v>
      </c>
      <c r="BF291" s="30" t="str">
        <f t="shared" si="307"/>
        <v>0,100150258475879+0,352344989378678i</v>
      </c>
      <c r="BG291" s="68">
        <f t="shared" si="308"/>
        <v>-8.72321709517357</v>
      </c>
      <c r="BH291" s="31">
        <f t="shared" si="309"/>
        <v>74.1327720282891</v>
      </c>
      <c r="BI291" s="30" t="str">
        <f t="shared" si="263"/>
        <v>-0,0684776835956658+1,83696201607555i</v>
      </c>
      <c r="BJ291" s="68">
        <f t="shared" si="310"/>
        <v>5.28803440224596</v>
      </c>
      <c r="BK291" s="31">
        <f t="shared" si="264"/>
        <v>92.1348652558014</v>
      </c>
      <c r="BL291" s="32">
        <f t="shared" si="311"/>
        <v>-8.72321709517357</v>
      </c>
      <c r="BM291" s="31">
        <f t="shared" si="312"/>
        <v>74.1327720282891</v>
      </c>
      <c r="BO291">
        <f t="shared" si="313"/>
        <v>0</v>
      </c>
      <c r="BP291">
        <f t="shared" si="314"/>
        <v>0</v>
      </c>
    </row>
    <row r="292" spans="14:68">
      <c r="N292" s="7">
        <v>74</v>
      </c>
      <c r="O292" s="18">
        <f t="shared" si="315"/>
        <v>5495.40873857625</v>
      </c>
      <c r="P292" s="86" t="str">
        <f t="shared" si="265"/>
        <v>75</v>
      </c>
      <c r="Q292" s="4" t="str">
        <f t="shared" si="266"/>
        <v>1+56,396830023842i</v>
      </c>
      <c r="R292" s="4">
        <f t="shared" si="277"/>
        <v>56.4056950736194</v>
      </c>
      <c r="S292" s="4">
        <f t="shared" si="278"/>
        <v>1.55306669168253</v>
      </c>
      <c r="T292" s="4" t="str">
        <f t="shared" si="267"/>
        <v>1+0,541409568228884i</v>
      </c>
      <c r="U292" s="4">
        <f t="shared" si="279"/>
        <v>1.13715624281353</v>
      </c>
      <c r="V292" s="4">
        <f t="shared" si="280"/>
        <v>0.496223955224008</v>
      </c>
      <c r="W292" t="str">
        <f t="shared" si="268"/>
        <v>1-0,283998322620062i</v>
      </c>
      <c r="X292" s="4">
        <f t="shared" si="281"/>
        <v>1.03954559652331</v>
      </c>
      <c r="Y292" s="4">
        <f t="shared" si="282"/>
        <v>-0.276712484467875</v>
      </c>
      <c r="Z292" t="str">
        <f t="shared" si="269"/>
        <v>0,999753473328947+0,0891192056615823i</v>
      </c>
      <c r="AA292" s="4">
        <f t="shared" si="283"/>
        <v>1.00371770944377</v>
      </c>
      <c r="AB292" s="4">
        <f t="shared" si="284"/>
        <v>0.0889061909493503</v>
      </c>
      <c r="AC292" s="67" t="str">
        <f t="shared" si="285"/>
        <v>0,231440827395102-1,54879819799835i</v>
      </c>
      <c r="AD292" s="68">
        <f t="shared" si="286"/>
        <v>3.89580808520979</v>
      </c>
      <c r="AE292" s="31">
        <f t="shared" si="287"/>
        <v>-81.5010354207004</v>
      </c>
      <c r="AF292" s="32" t="str">
        <f t="shared" si="288"/>
        <v>249,914648392112</v>
      </c>
      <c r="AG292" s="32" t="str">
        <f t="shared" si="270"/>
        <v>1+36,255105015327i</v>
      </c>
      <c r="AH292" s="32">
        <f t="shared" si="289"/>
        <v>36.2688935545653</v>
      </c>
      <c r="AI292" s="32">
        <f t="shared" si="290"/>
        <v>1.54322099580539</v>
      </c>
      <c r="AJ292" s="32" t="str">
        <f t="shared" si="271"/>
        <v>1+0,541409568228884i</v>
      </c>
      <c r="AK292" s="32">
        <f t="shared" si="291"/>
        <v>1.13715624281353</v>
      </c>
      <c r="AL292" s="32">
        <f t="shared" si="292"/>
        <v>0.496223955224008</v>
      </c>
      <c r="AM292" s="32" t="str">
        <f t="shared" si="272"/>
        <v>1-0,0547892570250303i</v>
      </c>
      <c r="AN292" s="32">
        <f t="shared" si="293"/>
        <v>1.00149980663271</v>
      </c>
      <c r="AO292" s="32">
        <f t="shared" si="294"/>
        <v>-0.0547345322815591</v>
      </c>
      <c r="AP292" s="30" t="str">
        <f t="shared" si="295"/>
        <v>3,54745628239015-6,9998560803654i</v>
      </c>
      <c r="AQ292" s="32">
        <f t="shared" si="296"/>
        <v>17.894568304774</v>
      </c>
      <c r="AR292" s="31">
        <f t="shared" si="297"/>
        <v>-63.1245692813564</v>
      </c>
      <c r="AS292" t="str">
        <f t="shared" si="273"/>
        <v>-0,000100699300699301</v>
      </c>
      <c r="AT292" t="str">
        <f t="shared" si="274"/>
        <v>0,00775859247327998i</v>
      </c>
      <c r="AU292">
        <f t="shared" si="298"/>
        <v>0.00775859247327998</v>
      </c>
      <c r="AV292">
        <f t="shared" si="299"/>
        <v>1.5707963267949</v>
      </c>
      <c r="AW292" t="str">
        <f t="shared" si="275"/>
        <v>1+0,397225703963466i</v>
      </c>
      <c r="AX292">
        <f t="shared" si="300"/>
        <v>1.07600569695949</v>
      </c>
      <c r="AY292">
        <f t="shared" si="301"/>
        <v>0.378112457014043</v>
      </c>
      <c r="AZ292" t="str">
        <f t="shared" si="276"/>
        <v>1+18,9907692937427i</v>
      </c>
      <c r="BA292">
        <f t="shared" si="302"/>
        <v>19.0170796487831</v>
      </c>
      <c r="BB292">
        <f t="shared" si="303"/>
        <v>1.51818775363545</v>
      </c>
      <c r="BC292" s="30" t="str">
        <f t="shared" si="304"/>
        <v>-0,208437827829793+0,0957759310733064i</v>
      </c>
      <c r="BD292" s="32">
        <f t="shared" si="305"/>
        <v>-12.7885446286807</v>
      </c>
      <c r="BE292" s="31">
        <f t="shared" si="306"/>
        <v>155.321502823532</v>
      </c>
      <c r="BF292" s="30" t="str">
        <f t="shared" si="307"/>
        <v>0,100096566124586+0,344994592869616i</v>
      </c>
      <c r="BG292" s="68">
        <f t="shared" si="308"/>
        <v>-8.89273654347093</v>
      </c>
      <c r="BH292" s="31">
        <f t="shared" si="309"/>
        <v>73.8204674028317</v>
      </c>
      <c r="BI292" s="30" t="str">
        <f t="shared" si="263"/>
        <v>-0,0690063483464144+1,7987957249003i</v>
      </c>
      <c r="BJ292" s="68">
        <f t="shared" si="310"/>
        <v>5.10602367609327</v>
      </c>
      <c r="BK292" s="31">
        <f t="shared" si="264"/>
        <v>92.1969335421757</v>
      </c>
      <c r="BL292" s="32">
        <f t="shared" si="311"/>
        <v>-8.89273654347093</v>
      </c>
      <c r="BM292" s="31">
        <f t="shared" si="312"/>
        <v>73.8204674028317</v>
      </c>
      <c r="BO292">
        <f t="shared" si="313"/>
        <v>0</v>
      </c>
      <c r="BP292">
        <f t="shared" si="314"/>
        <v>0</v>
      </c>
    </row>
    <row r="293" spans="14:68">
      <c r="N293" s="7">
        <v>75</v>
      </c>
      <c r="O293" s="18">
        <f t="shared" si="315"/>
        <v>5623.4132519035</v>
      </c>
      <c r="P293" s="86" t="str">
        <f t="shared" si="265"/>
        <v>75</v>
      </c>
      <c r="Q293" s="4" t="str">
        <f t="shared" si="266"/>
        <v>1+57,7104809502463i</v>
      </c>
      <c r="R293" s="4">
        <f t="shared" si="277"/>
        <v>57.7191442374949</v>
      </c>
      <c r="S293" s="4">
        <f t="shared" si="278"/>
        <v>1.55347018574601</v>
      </c>
      <c r="T293" s="4" t="str">
        <f t="shared" si="267"/>
        <v>1+0,554020617122365i</v>
      </c>
      <c r="U293" s="4">
        <f t="shared" si="279"/>
        <v>1.14321425996908</v>
      </c>
      <c r="V293" s="4">
        <f t="shared" si="280"/>
        <v>0.505924815474331</v>
      </c>
      <c r="W293" t="str">
        <f t="shared" si="268"/>
        <v>1-0,290613493356598i</v>
      </c>
      <c r="X293" s="4">
        <f t="shared" si="281"/>
        <v>1.04137226894177</v>
      </c>
      <c r="Y293" s="4">
        <f t="shared" si="282"/>
        <v>-0.282823230141681</v>
      </c>
      <c r="Z293" t="str">
        <f t="shared" si="269"/>
        <v>0,999741854884884+0,0911950586311244i</v>
      </c>
      <c r="AA293" s="4">
        <f t="shared" si="283"/>
        <v>1.00389258146846</v>
      </c>
      <c r="AB293" s="4">
        <f t="shared" si="284"/>
        <v>0.0909668569729646</v>
      </c>
      <c r="AC293" s="67" t="str">
        <f t="shared" si="285"/>
        <v>0,22945480505858-1,52376801648049i</v>
      </c>
      <c r="AD293" s="68">
        <f t="shared" si="286"/>
        <v>3.75575553082373</v>
      </c>
      <c r="AE293" s="31">
        <f t="shared" si="287"/>
        <v>-81.4365229805332</v>
      </c>
      <c r="AF293" s="32" t="str">
        <f t="shared" si="288"/>
        <v>249,914648392112</v>
      </c>
      <c r="AG293" s="32" t="str">
        <f t="shared" si="270"/>
        <v>1+37,0995948965869i</v>
      </c>
      <c r="AH293" s="32">
        <f t="shared" si="289"/>
        <v>37.1130696856358</v>
      </c>
      <c r="AI293" s="32">
        <f t="shared" si="290"/>
        <v>1.54384837959725</v>
      </c>
      <c r="AJ293" s="32" t="str">
        <f t="shared" si="271"/>
        <v>1+0,554020617122365i</v>
      </c>
      <c r="AK293" s="32">
        <f t="shared" si="291"/>
        <v>1.14321425996908</v>
      </c>
      <c r="AL293" s="32">
        <f t="shared" si="292"/>
        <v>0.505924815474331</v>
      </c>
      <c r="AM293" s="32" t="str">
        <f t="shared" si="272"/>
        <v>1-0,0560654627659825i</v>
      </c>
      <c r="AN293" s="32">
        <f t="shared" si="293"/>
        <v>1.00157043492466</v>
      </c>
      <c r="AO293" s="32">
        <f t="shared" si="294"/>
        <v>-0.0560068291115154</v>
      </c>
      <c r="AP293" s="30" t="str">
        <f t="shared" si="295"/>
        <v>3,53902656180126-6,85016445507255i</v>
      </c>
      <c r="AQ293" s="32">
        <f t="shared" si="296"/>
        <v>17.7414792922331</v>
      </c>
      <c r="AR293" s="31">
        <f t="shared" si="297"/>
        <v>-62.6775946134193</v>
      </c>
      <c r="AS293" t="str">
        <f t="shared" si="273"/>
        <v>-0,000100699300699301</v>
      </c>
      <c r="AT293" t="str">
        <f t="shared" si="274"/>
        <v>0,00793931330786962i</v>
      </c>
      <c r="AU293">
        <f t="shared" si="298"/>
        <v>0.00793931330786962</v>
      </c>
      <c r="AV293">
        <f t="shared" si="299"/>
        <v>1.5707963267949</v>
      </c>
      <c r="AW293" t="str">
        <f t="shared" si="275"/>
        <v>1+0,406478279219604i</v>
      </c>
      <c r="AX293">
        <f t="shared" si="300"/>
        <v>1.07945569222517</v>
      </c>
      <c r="AY293">
        <f t="shared" si="301"/>
        <v>0.386078595057729</v>
      </c>
      <c r="AZ293" t="str">
        <f t="shared" si="276"/>
        <v>1+19,4331211363074i</v>
      </c>
      <c r="BA293">
        <f t="shared" si="302"/>
        <v>19.4588333951036</v>
      </c>
      <c r="BB293">
        <f t="shared" si="303"/>
        <v>1.51938313730606</v>
      </c>
      <c r="BC293" s="30" t="str">
        <f t="shared" si="304"/>
        <v>-0,20710760118115+0,0968683698612113i</v>
      </c>
      <c r="BD293" s="32">
        <f t="shared" si="305"/>
        <v>-12.8168901453046</v>
      </c>
      <c r="BE293" s="31">
        <f t="shared" si="306"/>
        <v>154.933567173835</v>
      </c>
      <c r="BF293" s="30" t="str">
        <f t="shared" si="307"/>
        <v>0,100083089547946+0,33781085157268i</v>
      </c>
      <c r="BG293" s="68">
        <f t="shared" si="308"/>
        <v>-9.06113461448084</v>
      </c>
      <c r="BH293" s="31">
        <f t="shared" si="309"/>
        <v>73.497044193302</v>
      </c>
      <c r="BI293" s="30" t="str">
        <f t="shared" si="263"/>
        <v>-0,0693950376869411+1,76154086192367i</v>
      </c>
      <c r="BJ293" s="68">
        <f t="shared" si="310"/>
        <v>4.92458914692849</v>
      </c>
      <c r="BK293" s="31">
        <f t="shared" si="264"/>
        <v>92.2559725604158</v>
      </c>
      <c r="BL293" s="32">
        <f t="shared" si="311"/>
        <v>-9.06113461448084</v>
      </c>
      <c r="BM293" s="31">
        <f t="shared" si="312"/>
        <v>73.497044193302</v>
      </c>
      <c r="BO293">
        <f t="shared" si="313"/>
        <v>0</v>
      </c>
      <c r="BP293">
        <f t="shared" si="314"/>
        <v>0</v>
      </c>
    </row>
    <row r="294" spans="14:68">
      <c r="N294" s="7">
        <v>76</v>
      </c>
      <c r="O294" s="18">
        <f t="shared" si="315"/>
        <v>5754.39937337157</v>
      </c>
      <c r="P294" s="86" t="str">
        <f t="shared" si="265"/>
        <v>75</v>
      </c>
      <c r="Q294" s="4" t="str">
        <f t="shared" si="266"/>
        <v>1+59,0547307375391i</v>
      </c>
      <c r="R294" s="4">
        <f t="shared" si="277"/>
        <v>59.0631968528901</v>
      </c>
      <c r="S294" s="4">
        <f t="shared" si="278"/>
        <v>1.55386450061536</v>
      </c>
      <c r="T294" s="4" t="str">
        <f t="shared" si="267"/>
        <v>1+0,566925415080376i</v>
      </c>
      <c r="U294" s="4">
        <f t="shared" si="279"/>
        <v>1.14952356490159</v>
      </c>
      <c r="V294" s="4">
        <f t="shared" si="280"/>
        <v>0.515744842384676</v>
      </c>
      <c r="W294" t="str">
        <f t="shared" si="268"/>
        <v>1-0,297382751214036i</v>
      </c>
      <c r="X294" s="4">
        <f t="shared" si="281"/>
        <v>1.04328160183127</v>
      </c>
      <c r="Y294" s="4">
        <f t="shared" si="282"/>
        <v>-0.289053922530237</v>
      </c>
      <c r="Z294" t="str">
        <f t="shared" si="269"/>
        <v>0,999729688880422+0,0933192644278622i</v>
      </c>
      <c r="AA294" s="4">
        <f t="shared" si="283"/>
        <v>1.00407566245891</v>
      </c>
      <c r="AB294" s="4">
        <f t="shared" si="284"/>
        <v>0.0930747954592104</v>
      </c>
      <c r="AC294" s="67" t="str">
        <f t="shared" si="285"/>
        <v>0,227473276062948-1,49953643448706i</v>
      </c>
      <c r="AD294" s="68">
        <f t="shared" si="286"/>
        <v>3.61794600768649</v>
      </c>
      <c r="AE294" s="31">
        <f t="shared" si="287"/>
        <v>-81.3742378177216</v>
      </c>
      <c r="AF294" s="32" t="str">
        <f t="shared" si="288"/>
        <v>249,914648392112</v>
      </c>
      <c r="AG294" s="32" t="str">
        <f t="shared" si="270"/>
        <v>1+37,9637554741323i</v>
      </c>
      <c r="AH294" s="32">
        <f t="shared" si="289"/>
        <v>37.9769236471269</v>
      </c>
      <c r="AI294" s="32">
        <f t="shared" si="290"/>
        <v>1.54446150289489</v>
      </c>
      <c r="AJ294" s="32" t="str">
        <f t="shared" si="271"/>
        <v>1+0,566925415080376i</v>
      </c>
      <c r="AK294" s="32">
        <f t="shared" si="291"/>
        <v>1.14952356490159</v>
      </c>
      <c r="AL294" s="32">
        <f t="shared" si="292"/>
        <v>0.515744842384676</v>
      </c>
      <c r="AM294" s="32" t="str">
        <f t="shared" si="272"/>
        <v>1-0,0573713951574075i</v>
      </c>
      <c r="AN294" s="32">
        <f t="shared" si="293"/>
        <v>1.00164438648769</v>
      </c>
      <c r="AO294" s="32">
        <f t="shared" si="294"/>
        <v>-0.0573085736339742</v>
      </c>
      <c r="AP294" s="30" t="str">
        <f t="shared" si="295"/>
        <v>3,53097570261546-6,70408443335989i</v>
      </c>
      <c r="AQ294" s="32">
        <f t="shared" si="296"/>
        <v>17.5900674210881</v>
      </c>
      <c r="AR294" s="31">
        <f t="shared" si="297"/>
        <v>-62.2246623611688</v>
      </c>
      <c r="AS294" t="str">
        <f t="shared" si="273"/>
        <v>-0,000100699300699301</v>
      </c>
      <c r="AT294" t="str">
        <f t="shared" si="274"/>
        <v>0,0081242436714643i</v>
      </c>
      <c r="AU294">
        <f t="shared" si="298"/>
        <v>0.0081242436714643</v>
      </c>
      <c r="AV294">
        <f t="shared" si="299"/>
        <v>1.5707963267949</v>
      </c>
      <c r="AW294" t="str">
        <f t="shared" si="275"/>
        <v>1+0,415946374639761i</v>
      </c>
      <c r="AX294">
        <f t="shared" si="300"/>
        <v>1.08305650202377</v>
      </c>
      <c r="AY294">
        <f t="shared" si="301"/>
        <v>0.394177222836179</v>
      </c>
      <c r="AZ294" t="str">
        <f t="shared" si="276"/>
        <v>1+19,8857766769264i</v>
      </c>
      <c r="BA294">
        <f t="shared" si="302"/>
        <v>19.9109044004684</v>
      </c>
      <c r="BB294">
        <f t="shared" si="303"/>
        <v>1.52055145284389</v>
      </c>
      <c r="BC294" s="30" t="str">
        <f t="shared" si="304"/>
        <v>-0,205732759920254+0,0979687095197845i</v>
      </c>
      <c r="BD294" s="32">
        <f t="shared" si="305"/>
        <v>-12.8463322586357</v>
      </c>
      <c r="BE294" s="31">
        <f t="shared" si="306"/>
        <v>154.53648953174</v>
      </c>
      <c r="BF294" s="30" t="str">
        <f t="shared" si="307"/>
        <v>0,100108944472064+0,330789032574125i</v>
      </c>
      <c r="BG294" s="68">
        <f t="shared" si="308"/>
        <v>-9.2283862509492</v>
      </c>
      <c r="BH294" s="31">
        <f t="shared" si="309"/>
        <v>73.1622517140181</v>
      </c>
      <c r="BI294" s="30" t="str">
        <f t="shared" si="263"/>
        <v>-0,0696468760624925+1,72517492614449i</v>
      </c>
      <c r="BJ294" s="68">
        <f t="shared" si="310"/>
        <v>4.74373516245242</v>
      </c>
      <c r="BK294" s="31">
        <f t="shared" si="264"/>
        <v>92.3118271705709</v>
      </c>
      <c r="BL294" s="32">
        <f t="shared" si="311"/>
        <v>-9.2283862509492</v>
      </c>
      <c r="BM294" s="31">
        <f t="shared" si="312"/>
        <v>73.1622517140181</v>
      </c>
      <c r="BO294">
        <f t="shared" si="313"/>
        <v>0</v>
      </c>
      <c r="BP294">
        <f t="shared" si="314"/>
        <v>0</v>
      </c>
    </row>
    <row r="295" spans="14:68">
      <c r="N295" s="7">
        <v>77</v>
      </c>
      <c r="O295" s="18">
        <f t="shared" si="315"/>
        <v>5888.4365535559</v>
      </c>
      <c r="P295" s="86" t="str">
        <f t="shared" si="265"/>
        <v>75</v>
      </c>
      <c r="Q295" s="4" t="str">
        <f t="shared" si="266"/>
        <v>1+60,4302921247506i</v>
      </c>
      <c r="R295" s="4">
        <f t="shared" si="277"/>
        <v>60.438565554476</v>
      </c>
      <c r="S295" s="4">
        <f t="shared" si="278"/>
        <v>1.55424984487075</v>
      </c>
      <c r="T295" s="4" t="str">
        <f t="shared" si="267"/>
        <v>1+0,580130804397606i</v>
      </c>
      <c r="U295" s="4">
        <f t="shared" si="279"/>
        <v>1.15609331379911</v>
      </c>
      <c r="V295" s="4">
        <f t="shared" si="280"/>
        <v>0.525681666173527</v>
      </c>
      <c r="W295" t="str">
        <f t="shared" si="268"/>
        <v>1-0,304309685342494i</v>
      </c>
      <c r="X295" s="4">
        <f t="shared" si="281"/>
        <v>1.04527718074836</v>
      </c>
      <c r="Y295" s="4">
        <f t="shared" si="282"/>
        <v>-0.295405929413324</v>
      </c>
      <c r="Z295" t="str">
        <f t="shared" si="269"/>
        <v>0,999716949509835+0,095492949333826i</v>
      </c>
      <c r="AA295" s="4">
        <f t="shared" si="283"/>
        <v>1.00426733617584</v>
      </c>
      <c r="AB295" s="4">
        <f t="shared" si="284"/>
        <v>0.0952310561255835</v>
      </c>
      <c r="AC295" s="67" t="str">
        <f t="shared" si="285"/>
        <v>0,225492138326934-1,47609017434223i</v>
      </c>
      <c r="AD295" s="68">
        <f t="shared" si="286"/>
        <v>3.48244273229727</v>
      </c>
      <c r="AE295" s="31">
        <f t="shared" si="287"/>
        <v>-81.3144661739013</v>
      </c>
      <c r="AF295" s="32" t="str">
        <f t="shared" si="288"/>
        <v>249,914648392112</v>
      </c>
      <c r="AG295" s="32" t="str">
        <f t="shared" si="270"/>
        <v>1+38,8480449373397i</v>
      </c>
      <c r="AH295" s="32">
        <f t="shared" si="289"/>
        <v>38.8609134665356</v>
      </c>
      <c r="AI295" s="32">
        <f t="shared" si="290"/>
        <v>1.54506068893946</v>
      </c>
      <c r="AJ295" s="32" t="str">
        <f t="shared" si="271"/>
        <v>1+0,580130804397606i</v>
      </c>
      <c r="AK295" s="32">
        <f t="shared" si="291"/>
        <v>1.15609331379911</v>
      </c>
      <c r="AL295" s="32">
        <f t="shared" si="292"/>
        <v>0.525681666173527</v>
      </c>
      <c r="AM295" s="32" t="str">
        <f t="shared" si="272"/>
        <v>1-0,0587077466219451i</v>
      </c>
      <c r="AN295" s="32">
        <f t="shared" si="293"/>
        <v>1.00172181742908</v>
      </c>
      <c r="AO295" s="32">
        <f t="shared" si="294"/>
        <v>-0.0586404383942703</v>
      </c>
      <c r="AP295" s="30" t="str">
        <f t="shared" si="295"/>
        <v>3,52328670059657-6,56153992436269i</v>
      </c>
      <c r="AQ295" s="32">
        <f t="shared" si="296"/>
        <v>17.4403745950212</v>
      </c>
      <c r="AR295" s="31">
        <f t="shared" si="297"/>
        <v>-61.7659653574467</v>
      </c>
      <c r="AS295" t="str">
        <f t="shared" si="273"/>
        <v>-0,000100699300699301</v>
      </c>
      <c r="AT295" t="str">
        <f t="shared" si="274"/>
        <v>0,0083134816165907i</v>
      </c>
      <c r="AU295">
        <f t="shared" si="298"/>
        <v>0.0083134816165907</v>
      </c>
      <c r="AV295">
        <f t="shared" si="299"/>
        <v>1.5707963267949</v>
      </c>
      <c r="AW295" t="str">
        <f t="shared" si="275"/>
        <v>1+0,425635010333452i</v>
      </c>
      <c r="AX295">
        <f t="shared" si="300"/>
        <v>1.08681422608538</v>
      </c>
      <c r="AY295">
        <f t="shared" si="301"/>
        <v>0.402408383934472</v>
      </c>
      <c r="AZ295" t="str">
        <f t="shared" si="276"/>
        <v>1+20,3489759195589i</v>
      </c>
      <c r="BA295">
        <f t="shared" si="302"/>
        <v>20.3735323637014</v>
      </c>
      <c r="BB295">
        <f t="shared" si="303"/>
        <v>1.52169330694041</v>
      </c>
      <c r="BC295" s="30" t="str">
        <f t="shared" si="304"/>
        <v>-0,204312553178529+0,0990753468836541i</v>
      </c>
      <c r="BD295" s="32">
        <f t="shared" si="305"/>
        <v>-12.8769093440005</v>
      </c>
      <c r="BE295" s="31">
        <f t="shared" si="306"/>
        <v>154.130302160865</v>
      </c>
      <c r="BF295" s="30" t="str">
        <f t="shared" si="307"/>
        <v>0,100173271551248+0,323924464065879i</v>
      </c>
      <c r="BG295" s="68">
        <f t="shared" si="308"/>
        <v>-9.39446661170322</v>
      </c>
      <c r="BH295" s="31">
        <f t="shared" si="309"/>
        <v>72.815835986964</v>
      </c>
      <c r="BI295" s="30" t="str">
        <f t="shared" si="263"/>
        <v>-0,0697648572816617+1,68967582676156i</v>
      </c>
      <c r="BJ295" s="68">
        <f t="shared" si="310"/>
        <v>4.56346525102074</v>
      </c>
      <c r="BK295" s="31">
        <f t="shared" si="264"/>
        <v>92.3643368034186</v>
      </c>
      <c r="BL295" s="32">
        <f t="shared" si="311"/>
        <v>-9.39446661170322</v>
      </c>
      <c r="BM295" s="31">
        <f t="shared" si="312"/>
        <v>72.815835986964</v>
      </c>
      <c r="BO295">
        <f t="shared" si="313"/>
        <v>0</v>
      </c>
      <c r="BP295">
        <f t="shared" si="314"/>
        <v>0</v>
      </c>
    </row>
    <row r="296" spans="14:68">
      <c r="N296" s="7">
        <v>78</v>
      </c>
      <c r="O296" s="18">
        <f t="shared" si="315"/>
        <v>6025.59586074359</v>
      </c>
      <c r="P296" s="86" t="str">
        <f t="shared" si="265"/>
        <v>75</v>
      </c>
      <c r="Q296" s="4" t="str">
        <f t="shared" si="266"/>
        <v>1+61,8378944527363i</v>
      </c>
      <c r="R296" s="4">
        <f t="shared" si="277"/>
        <v>61.8459795811155</v>
      </c>
      <c r="S296" s="4">
        <f t="shared" si="278"/>
        <v>1.55462642236881</v>
      </c>
      <c r="T296" s="4" t="str">
        <f t="shared" si="267"/>
        <v>1+0,593643786746269i</v>
      </c>
      <c r="U296" s="4">
        <f t="shared" si="279"/>
        <v>1.16293290672439</v>
      </c>
      <c r="V296" s="4">
        <f t="shared" si="280"/>
        <v>0.535732705510616</v>
      </c>
      <c r="W296" t="str">
        <f t="shared" si="268"/>
        <v>1-0,311397968494136i</v>
      </c>
      <c r="X296" s="4">
        <f t="shared" si="281"/>
        <v>1.04736273314563</v>
      </c>
      <c r="Y296" s="4">
        <f t="shared" si="282"/>
        <v>-0.301880567619326</v>
      </c>
      <c r="Z296" t="str">
        <f t="shared" si="269"/>
        <v>0,999703609751208+0,0977172658655255i</v>
      </c>
      <c r="AA296" s="4">
        <f t="shared" si="283"/>
        <v>1.00446800416829</v>
      </c>
      <c r="AB296" s="4">
        <f t="shared" si="284"/>
        <v>0.0974367095330988</v>
      </c>
      <c r="AC296" s="67" t="str">
        <f t="shared" si="285"/>
        <v>0,223507299489425-1,45341632989764i</v>
      </c>
      <c r="AD296" s="68">
        <f t="shared" si="286"/>
        <v>3.34930919485364</v>
      </c>
      <c r="AE296" s="31">
        <f t="shared" si="287"/>
        <v>-81.2575044158618</v>
      </c>
      <c r="AF296" s="32" t="str">
        <f t="shared" si="288"/>
        <v>249,914648392112</v>
      </c>
      <c r="AG296" s="32" t="str">
        <f t="shared" si="270"/>
        <v>1+39,7529321481876i</v>
      </c>
      <c r="AH296" s="32">
        <f t="shared" si="289"/>
        <v>39.7655078476109</v>
      </c>
      <c r="AI296" s="32">
        <f t="shared" si="290"/>
        <v>1.54564625370537</v>
      </c>
      <c r="AJ296" s="32" t="str">
        <f t="shared" si="271"/>
        <v>1+0,593643786746269i</v>
      </c>
      <c r="AK296" s="32">
        <f t="shared" si="291"/>
        <v>1.16293290672439</v>
      </c>
      <c r="AL296" s="32">
        <f t="shared" si="292"/>
        <v>0.535732705510616</v>
      </c>
      <c r="AM296" s="32" t="str">
        <f t="shared" si="272"/>
        <v>1-0,0600752257108307i</v>
      </c>
      <c r="AN296" s="32">
        <f t="shared" si="293"/>
        <v>1.00180289116383</v>
      </c>
      <c r="AO296" s="32">
        <f t="shared" si="294"/>
        <v>-0.0600031106536659</v>
      </c>
      <c r="AP296" s="30" t="str">
        <f t="shared" si="295"/>
        <v>3,51594331266632-6,42245662104114i</v>
      </c>
      <c r="AQ296" s="32">
        <f t="shared" si="296"/>
        <v>17.2924423908837</v>
      </c>
      <c r="AR296" s="31">
        <f t="shared" si="297"/>
        <v>-61.3017089827529</v>
      </c>
      <c r="AS296" t="str">
        <f t="shared" si="273"/>
        <v>-0,000100699300699301</v>
      </c>
      <c r="AT296" t="str">
        <f t="shared" si="274"/>
        <v>0,00850712747971214i</v>
      </c>
      <c r="AU296">
        <f t="shared" si="298"/>
        <v>0.00850712747971214</v>
      </c>
      <c r="AV296">
        <f t="shared" si="299"/>
        <v>1.5707963267949</v>
      </c>
      <c r="AW296" t="str">
        <f t="shared" si="275"/>
        <v>1+0,435549323343569i</v>
      </c>
      <c r="AX296">
        <f t="shared" si="300"/>
        <v>1.09073517091228</v>
      </c>
      <c r="AY296">
        <f t="shared" si="301"/>
        <v>0.410771980150394</v>
      </c>
      <c r="AZ296" t="str">
        <f t="shared" si="276"/>
        <v>1+20,8229644585744i</v>
      </c>
      <c r="BA296">
        <f t="shared" si="302"/>
        <v>20.8469625807467</v>
      </c>
      <c r="BB296">
        <f t="shared" si="303"/>
        <v>1.52280929310474</v>
      </c>
      <c r="BC296" s="30" t="str">
        <f t="shared" si="304"/>
        <v>-0,202846279078649+0,100186610461278i</v>
      </c>
      <c r="BD296" s="32">
        <f t="shared" si="305"/>
        <v>-12.9086603306671</v>
      </c>
      <c r="BE296" s="31">
        <f t="shared" si="306"/>
        <v>153.715044693353</v>
      </c>
      <c r="BF296" s="30" t="str">
        <f t="shared" si="307"/>
        <v>0,100275231633168+0,317212533221082i</v>
      </c>
      <c r="BG296" s="68">
        <f t="shared" si="308"/>
        <v>-9.55935113581349</v>
      </c>
      <c r="BH296" s="31">
        <f t="shared" si="309"/>
        <v>72.4575402774908</v>
      </c>
      <c r="BI296" s="30" t="str">
        <f t="shared" si="263"/>
        <v>-0,0697518587291176+1,65502187119226i</v>
      </c>
      <c r="BJ296" s="68">
        <f t="shared" si="310"/>
        <v>4.38378206021658</v>
      </c>
      <c r="BK296" s="31">
        <f t="shared" si="264"/>
        <v>92.4133357105997</v>
      </c>
      <c r="BL296" s="32">
        <f t="shared" si="311"/>
        <v>-9.55935113581349</v>
      </c>
      <c r="BM296" s="31">
        <f t="shared" si="312"/>
        <v>72.4575402774908</v>
      </c>
      <c r="BO296">
        <f t="shared" si="313"/>
        <v>0</v>
      </c>
      <c r="BP296">
        <f t="shared" si="314"/>
        <v>0</v>
      </c>
    </row>
    <row r="297" spans="14:68">
      <c r="N297" s="7">
        <v>79</v>
      </c>
      <c r="O297" s="18">
        <f t="shared" si="315"/>
        <v>6165.95001861483</v>
      </c>
      <c r="P297" s="86" t="str">
        <f t="shared" si="265"/>
        <v>75</v>
      </c>
      <c r="Q297" s="4" t="str">
        <f t="shared" si="266"/>
        <v>1+63,2782840508818i</v>
      </c>
      <c r="R297" s="4">
        <f t="shared" si="277"/>
        <v>63.2861851625146</v>
      </c>
      <c r="S297" s="4">
        <f t="shared" si="278"/>
        <v>1.55499443234844</v>
      </c>
      <c r="T297" s="4" t="str">
        <f t="shared" si="267"/>
        <v>1+0,607471526888466i</v>
      </c>
      <c r="U297" s="4">
        <f t="shared" si="279"/>
        <v>1.17005198858008</v>
      </c>
      <c r="V297" s="4">
        <f t="shared" si="280"/>
        <v>0.545895165907186</v>
      </c>
      <c r="W297" t="str">
        <f t="shared" si="268"/>
        <v>1-0,318651358970512i</v>
      </c>
      <c r="X297" s="4">
        <f t="shared" si="281"/>
        <v>1.04954213282448</v>
      </c>
      <c r="Y297" s="4">
        <f t="shared" si="282"/>
        <v>-0.308479097911754</v>
      </c>
      <c r="Z297" t="str">
        <f t="shared" si="269"/>
        <v>0,999689641309126+0,0999933933850274i</v>
      </c>
      <c r="AA297" s="4">
        <f t="shared" si="283"/>
        <v>1.00467808658367</v>
      </c>
      <c r="AB297" s="4">
        <f t="shared" si="284"/>
        <v>0.0996928473220241</v>
      </c>
      <c r="AC297" s="67" t="str">
        <f t="shared" si="285"/>
        <v>0,221514669124685-1,43150235762413i</v>
      </c>
      <c r="AD297" s="68">
        <f t="shared" si="286"/>
        <v>3.21860905347432</v>
      </c>
      <c r="AE297" s="31">
        <f t="shared" si="287"/>
        <v>-81.2036588543716</v>
      </c>
      <c r="AF297" s="32" t="str">
        <f t="shared" si="288"/>
        <v>249,914648392112</v>
      </c>
      <c r="AG297" s="32" t="str">
        <f t="shared" si="270"/>
        <v>1+40,6788968898526i</v>
      </c>
      <c r="AH297" s="32">
        <f t="shared" si="289"/>
        <v>40.6911864188704</v>
      </c>
      <c r="AI297" s="32">
        <f t="shared" si="290"/>
        <v>1.54621850605964</v>
      </c>
      <c r="AJ297" s="32" t="str">
        <f t="shared" si="271"/>
        <v>1+0,607471526888466i</v>
      </c>
      <c r="AK297" s="32">
        <f t="shared" si="291"/>
        <v>1.17005198858008</v>
      </c>
      <c r="AL297" s="32">
        <f t="shared" si="292"/>
        <v>0.545895165907186</v>
      </c>
      <c r="AM297" s="32" t="str">
        <f t="shared" si="272"/>
        <v>1-0,0614745574795775i</v>
      </c>
      <c r="AN297" s="32">
        <f t="shared" si="293"/>
        <v>1.00188777875434</v>
      </c>
      <c r="AO297" s="32">
        <f t="shared" si="294"/>
        <v>-0.0613972926650842</v>
      </c>
      <c r="AP297" s="30" t="str">
        <f t="shared" si="295"/>
        <v>3,50893002301162-6,28676196681682i</v>
      </c>
      <c r="AQ297" s="32">
        <f t="shared" si="296"/>
        <v>17.1463119577808</v>
      </c>
      <c r="AR297" s="31">
        <f t="shared" si="297"/>
        <v>-60.8321112824042</v>
      </c>
      <c r="AS297" t="str">
        <f t="shared" si="273"/>
        <v>-0,000100699300699301</v>
      </c>
      <c r="AT297" t="str">
        <f t="shared" si="274"/>
        <v>0,00870528393442846i</v>
      </c>
      <c r="AU297">
        <f t="shared" si="298"/>
        <v>0.00870528393442846</v>
      </c>
      <c r="AV297">
        <f t="shared" si="299"/>
        <v>1.5707963267949</v>
      </c>
      <c r="AW297" t="str">
        <f t="shared" si="275"/>
        <v>1+0,445694570370098i</v>
      </c>
      <c r="AX297">
        <f t="shared" si="300"/>
        <v>1.09482585375821</v>
      </c>
      <c r="AY297">
        <f t="shared" si="301"/>
        <v>0.419267764671181</v>
      </c>
      <c r="AZ297" t="str">
        <f t="shared" si="276"/>
        <v>1+21,3079936089704i</v>
      </c>
      <c r="BA297">
        <f t="shared" si="302"/>
        <v>21.331446074749</v>
      </c>
      <c r="BB297">
        <f t="shared" si="303"/>
        <v>1.52389999192217</v>
      </c>
      <c r="BC297" s="30" t="str">
        <f t="shared" si="304"/>
        <v>-0,201333290312431+0,101300761019417i</v>
      </c>
      <c r="BD297" s="32">
        <f t="shared" si="305"/>
        <v>-12.9416246610813</v>
      </c>
      <c r="BE297" s="31">
        <f t="shared" si="306"/>
        <v>153.290764535618</v>
      </c>
      <c r="BF297" s="30" t="str">
        <f t="shared" si="307"/>
        <v>0,100414001041072+0,310648684309763i</v>
      </c>
      <c r="BG297" s="68">
        <f t="shared" si="308"/>
        <v>-9.72301560760698</v>
      </c>
      <c r="BH297" s="31">
        <f t="shared" si="309"/>
        <v>72.0871056812459</v>
      </c>
      <c r="BI297" s="30" t="str">
        <f t="shared" si="263"/>
        <v>-0,0696106554225331+1,62119175388524i</v>
      </c>
      <c r="BJ297" s="68">
        <f t="shared" si="310"/>
        <v>4.20468729669955</v>
      </c>
      <c r="BK297" s="31">
        <f t="shared" si="264"/>
        <v>92.4586532532134</v>
      </c>
      <c r="BL297" s="32">
        <f t="shared" si="311"/>
        <v>-9.72301560760698</v>
      </c>
      <c r="BM297" s="31">
        <f t="shared" si="312"/>
        <v>72.0871056812459</v>
      </c>
      <c r="BO297">
        <f t="shared" si="313"/>
        <v>0</v>
      </c>
      <c r="BP297">
        <f t="shared" si="314"/>
        <v>0</v>
      </c>
    </row>
    <row r="298" spans="14:68">
      <c r="N298" s="7">
        <v>80</v>
      </c>
      <c r="O298" s="18">
        <f t="shared" si="315"/>
        <v>6309.57344480194</v>
      </c>
      <c r="P298" s="86" t="str">
        <f t="shared" si="265"/>
        <v>75</v>
      </c>
      <c r="Q298" s="4" t="str">
        <f t="shared" si="266"/>
        <v>1+64,7522246328183i</v>
      </c>
      <c r="R298" s="4">
        <f t="shared" si="277"/>
        <v>64.759945914886</v>
      </c>
      <c r="S298" s="4">
        <f t="shared" si="278"/>
        <v>1.55535406953444</v>
      </c>
      <c r="T298" s="4" t="str">
        <f t="shared" si="267"/>
        <v>1+0,621621356475056i</v>
      </c>
      <c r="U298" s="4">
        <f t="shared" si="279"/>
        <v>1.17746044979264</v>
      </c>
      <c r="V298" s="4">
        <f t="shared" si="280"/>
        <v>0.55616603887404</v>
      </c>
      <c r="W298" t="str">
        <f t="shared" si="268"/>
        <v>1-0,326073702615264i</v>
      </c>
      <c r="X298" s="4">
        <f t="shared" si="281"/>
        <v>1.05181940443083</v>
      </c>
      <c r="Y298" s="4">
        <f t="shared" si="282"/>
        <v>-0.315202719667131</v>
      </c>
      <c r="Z298" t="str">
        <f t="shared" si="269"/>
        <v>0,99967501455465+0,102322538725271i</v>
      </c>
      <c r="AA298" s="4">
        <f t="shared" si="283"/>
        <v>1.00489802301329</v>
      </c>
      <c r="AB298" s="4">
        <f t="shared" si="284"/>
        <v>0.10200058243623</v>
      </c>
      <c r="AC298" s="67" t="str">
        <f t="shared" si="285"/>
        <v>0,219510151039367-1,41033606769564i</v>
      </c>
      <c r="AD298" s="68">
        <f t="shared" si="286"/>
        <v>3.09040602314847</v>
      </c>
      <c r="AE298" s="31">
        <f t="shared" si="287"/>
        <v>-81.1532455062735</v>
      </c>
      <c r="AF298" s="32" t="str">
        <f t="shared" si="288"/>
        <v>249,914648392112</v>
      </c>
      <c r="AG298" s="32" t="str">
        <f t="shared" si="270"/>
        <v>1+41,6264301210975i</v>
      </c>
      <c r="AH298" s="32">
        <f t="shared" si="289"/>
        <v>41.638439987908</v>
      </c>
      <c r="AI298" s="32">
        <f t="shared" si="290"/>
        <v>1.54677774791801</v>
      </c>
      <c r="AJ298" s="32" t="str">
        <f t="shared" si="271"/>
        <v>1+0,621621356475056i</v>
      </c>
      <c r="AK298" s="32">
        <f t="shared" si="291"/>
        <v>1.17746044979264</v>
      </c>
      <c r="AL298" s="32">
        <f t="shared" si="292"/>
        <v>0.55616603887404</v>
      </c>
      <c r="AM298" s="32" t="str">
        <f t="shared" si="272"/>
        <v>1-0,062906483872412i</v>
      </c>
      <c r="AN298" s="32">
        <f t="shared" si="293"/>
        <v>1.00197665926567</v>
      </c>
      <c r="AO298" s="32">
        <f t="shared" si="294"/>
        <v>-0.0628237019505808</v>
      </c>
      <c r="AP298" s="30" t="str">
        <f t="shared" si="295"/>
        <v>3,50223201068548-6,15438512273694i</v>
      </c>
      <c r="AQ298" s="32">
        <f t="shared" si="296"/>
        <v>17.0020239132056</v>
      </c>
      <c r="AR298" s="31">
        <f t="shared" si="297"/>
        <v>-60.357403039617</v>
      </c>
      <c r="AS298" t="str">
        <f t="shared" si="273"/>
        <v>-0,000100699300699301</v>
      </c>
      <c r="AT298" t="str">
        <f t="shared" si="274"/>
        <v>0,00890805604591487i</v>
      </c>
      <c r="AU298">
        <f t="shared" si="298"/>
        <v>0.00890805604591487</v>
      </c>
      <c r="AV298">
        <f t="shared" si="299"/>
        <v>1.5707963267949</v>
      </c>
      <c r="AW298" t="str">
        <f t="shared" si="275"/>
        <v>1+0,456076130557302i</v>
      </c>
      <c r="AX298">
        <f t="shared" si="300"/>
        <v>1.09909300646675</v>
      </c>
      <c r="AY298">
        <f t="shared" si="301"/>
        <v>0.427895335333278</v>
      </c>
      <c r="AZ298" t="str">
        <f t="shared" si="276"/>
        <v>1+21,8043205396225i</v>
      </c>
      <c r="BA298">
        <f t="shared" si="302"/>
        <v>21.8272397291688</v>
      </c>
      <c r="BB298">
        <f t="shared" si="303"/>
        <v>1.52496597130959</v>
      </c>
      <c r="BC298" s="30" t="str">
        <f t="shared" si="304"/>
        <v>-0,199772999867137+0,102415992586437i</v>
      </c>
      <c r="BD298" s="32">
        <f t="shared" si="305"/>
        <v>-12.9758422453224</v>
      </c>
      <c r="BE298" s="31">
        <f t="shared" si="306"/>
        <v>152.857517269176</v>
      </c>
      <c r="BF298" s="30" t="str">
        <f t="shared" si="307"/>
        <v>0,100588766879079+0,304228417065875i</v>
      </c>
      <c r="BG298" s="68">
        <f t="shared" si="308"/>
        <v>-9.88543622217391</v>
      </c>
      <c r="BH298" s="31">
        <f t="shared" si="309"/>
        <v>71.7042717629025</v>
      </c>
      <c r="BI298" s="30" t="str">
        <f t="shared" si="263"/>
        <v>-0,0693439339010488+1,58816454594918i</v>
      </c>
      <c r="BJ298" s="68">
        <f t="shared" si="310"/>
        <v>4.02618166788321</v>
      </c>
      <c r="BK298" s="31">
        <f t="shared" si="264"/>
        <v>92.5001142295591</v>
      </c>
      <c r="BL298" s="32">
        <f t="shared" si="311"/>
        <v>-9.88543622217391</v>
      </c>
      <c r="BM298" s="31">
        <f t="shared" si="312"/>
        <v>71.7042717629025</v>
      </c>
      <c r="BO298">
        <f t="shared" si="313"/>
        <v>0</v>
      </c>
      <c r="BP298">
        <f t="shared" si="314"/>
        <v>0</v>
      </c>
    </row>
    <row r="299" spans="14:68">
      <c r="N299" s="7">
        <v>81</v>
      </c>
      <c r="O299" s="18">
        <f t="shared" si="315"/>
        <v>6456.54229034656</v>
      </c>
      <c r="P299" s="86" t="str">
        <f t="shared" si="265"/>
        <v>75</v>
      </c>
      <c r="Q299" s="4" t="str">
        <f t="shared" si="266"/>
        <v>1+66,2604977013522i</v>
      </c>
      <c r="R299" s="4">
        <f t="shared" si="277"/>
        <v>66.2680432458278</v>
      </c>
      <c r="S299" s="4">
        <f t="shared" si="278"/>
        <v>1.55570552423889</v>
      </c>
      <c r="T299" s="4" t="str">
        <f t="shared" si="267"/>
        <v>1+0,636100777932981i</v>
      </c>
      <c r="U299" s="4">
        <f t="shared" si="279"/>
        <v>1.18516842671704</v>
      </c>
      <c r="V299" s="4">
        <f t="shared" si="280"/>
        <v>0.56654210189423</v>
      </c>
      <c r="W299" t="str">
        <f t="shared" si="268"/>
        <v>1-0,333668934853238i</v>
      </c>
      <c r="X299" s="4">
        <f t="shared" si="281"/>
        <v>1.05419872798543</v>
      </c>
      <c r="Y299" s="4">
        <f t="shared" si="282"/>
        <v>-0.322052565348773</v>
      </c>
      <c r="Z299" t="str">
        <f t="shared" si="269"/>
        <v>0,999659698462473+0,104705936829946i</v>
      </c>
      <c r="AA299" s="4">
        <f t="shared" si="283"/>
        <v>1.00512827337486</v>
      </c>
      <c r="AB299" s="4">
        <f t="shared" si="284"/>
        <v>0.104361049334794</v>
      </c>
      <c r="AC299" s="67" t="str">
        <f t="shared" si="285"/>
        <v>0,217489635642418-1,38990561505296i</v>
      </c>
      <c r="AD299" s="68">
        <f t="shared" si="286"/>
        <v>2.96476375968769</v>
      </c>
      <c r="AE299" s="31">
        <f t="shared" si="287"/>
        <v>-81.1065897973519</v>
      </c>
      <c r="AF299" s="32" t="str">
        <f t="shared" si="288"/>
        <v>249,914648392112</v>
      </c>
      <c r="AG299" s="32" t="str">
        <f t="shared" si="270"/>
        <v>1+42,5960342365835i</v>
      </c>
      <c r="AH299" s="32">
        <f t="shared" si="289"/>
        <v>42.6077708016295</v>
      </c>
      <c r="AI299" s="32">
        <f t="shared" si="290"/>
        <v>1.54732427439787</v>
      </c>
      <c r="AJ299" s="32" t="str">
        <f t="shared" si="271"/>
        <v>1+0,636100777932981i</v>
      </c>
      <c r="AK299" s="32">
        <f t="shared" si="291"/>
        <v>1.18516842671704</v>
      </c>
      <c r="AL299" s="32">
        <f t="shared" si="292"/>
        <v>0.56654210189423</v>
      </c>
      <c r="AM299" s="32" t="str">
        <f t="shared" si="272"/>
        <v>1-0,0643717641156615i</v>
      </c>
      <c r="AN299" s="32">
        <f t="shared" si="293"/>
        <v>1.00206972013696</v>
      </c>
      <c r="AO299" s="32">
        <f t="shared" si="294"/>
        <v>-0.0642830715802629</v>
      </c>
      <c r="AP299" s="30" t="str">
        <f t="shared" si="295"/>
        <v>3,49583511863669-6,02525693517556i</v>
      </c>
      <c r="AQ299" s="32">
        <f t="shared" si="296"/>
        <v>16.8596182366962</v>
      </c>
      <c r="AR299" s="31">
        <f t="shared" si="297"/>
        <v>-59.877827801817</v>
      </c>
      <c r="AS299" t="str">
        <f t="shared" si="273"/>
        <v>-0,000100699300699301</v>
      </c>
      <c r="AT299" t="str">
        <f t="shared" si="274"/>
        <v>0,00911555132662889i</v>
      </c>
      <c r="AU299">
        <f t="shared" si="298"/>
        <v>0.00911555132662889</v>
      </c>
      <c r="AV299">
        <f t="shared" si="299"/>
        <v>1.5707963267949</v>
      </c>
      <c r="AW299" t="str">
        <f t="shared" si="275"/>
        <v>1+0,466699508345809i</v>
      </c>
      <c r="AX299">
        <f t="shared" si="300"/>
        <v>1.10354357915318</v>
      </c>
      <c r="AY299">
        <f t="shared" si="301"/>
        <v>0.436654128006274</v>
      </c>
      <c r="AZ299" t="str">
        <f t="shared" si="276"/>
        <v>1+22,312208409639i</v>
      </c>
      <c r="BA299">
        <f t="shared" si="302"/>
        <v>22.3346064240041</v>
      </c>
      <c r="BB299">
        <f t="shared" si="303"/>
        <v>1.52600778676759</v>
      </c>
      <c r="BC299" s="30" t="str">
        <f t="shared" si="304"/>
        <v>-0,198164886871503+0,103530433903605i</v>
      </c>
      <c r="BD299" s="32">
        <f t="shared" si="305"/>
        <v>-13.0113534106745</v>
      </c>
      <c r="BE299" s="31">
        <f t="shared" si="306"/>
        <v>152.415367044158</v>
      </c>
      <c r="BF299" s="30" t="str">
        <f t="shared" si="307"/>
        <v>0,100798722368686+0,297947285316633i</v>
      </c>
      <c r="BG299" s="68">
        <f t="shared" si="308"/>
        <v>-10.0465896509868</v>
      </c>
      <c r="BH299" s="31">
        <f t="shared" si="309"/>
        <v>71.3087772468058</v>
      </c>
      <c r="BI299" s="30" t="str">
        <f t="shared" si="263"/>
        <v>-0,0689543059266359+1,55591968561872i</v>
      </c>
      <c r="BJ299" s="68">
        <f t="shared" si="310"/>
        <v>3.84826482602168</v>
      </c>
      <c r="BK299" s="31">
        <f t="shared" si="264"/>
        <v>92.5375392423408</v>
      </c>
      <c r="BL299" s="32">
        <f t="shared" si="311"/>
        <v>-10.0465896509868</v>
      </c>
      <c r="BM299" s="31">
        <f t="shared" si="312"/>
        <v>71.3087772468058</v>
      </c>
      <c r="BO299">
        <f t="shared" si="313"/>
        <v>0</v>
      </c>
      <c r="BP299">
        <f t="shared" si="314"/>
        <v>0</v>
      </c>
    </row>
    <row r="300" spans="14:68">
      <c r="N300" s="7">
        <v>82</v>
      </c>
      <c r="O300" s="18">
        <f t="shared" si="315"/>
        <v>6606.93448007597</v>
      </c>
      <c r="P300" s="86" t="str">
        <f t="shared" si="265"/>
        <v>75</v>
      </c>
      <c r="Q300" s="4" t="str">
        <f t="shared" si="266"/>
        <v>1+67,8039029628287i</v>
      </c>
      <c r="R300" s="4">
        <f t="shared" si="277"/>
        <v>67.811276768637</v>
      </c>
      <c r="S300" s="4">
        <f t="shared" si="278"/>
        <v>1.55604898246023</v>
      </c>
      <c r="T300" s="4" t="str">
        <f t="shared" si="267"/>
        <v>1+0,650917468443157i</v>
      </c>
      <c r="U300" s="4">
        <f t="shared" si="279"/>
        <v>1.19318630176702</v>
      </c>
      <c r="V300" s="4">
        <f t="shared" si="280"/>
        <v>0.577019919253472</v>
      </c>
      <c r="W300" t="str">
        <f t="shared" si="268"/>
        <v>1-0,341441082777102i</v>
      </c>
      <c r="X300" s="4">
        <f t="shared" si="281"/>
        <v>1.05668444343995</v>
      </c>
      <c r="Y300" s="4">
        <f t="shared" si="282"/>
        <v>-0.32902969478277</v>
      </c>
      <c r="Z300" t="str">
        <f t="shared" si="269"/>
        <v>0,99964366054511+0,107144851408275i</v>
      </c>
      <c r="AA300" s="4">
        <f t="shared" si="283"/>
        <v>1.0053693188333</v>
      </c>
      <c r="AB300" s="4">
        <f t="shared" si="284"/>
        <v>0.106775404189403</v>
      </c>
      <c r="AC300" s="67" t="str">
        <f t="shared" si="285"/>
        <v>0,215448992379817-1,37019949043349i</v>
      </c>
      <c r="AD300" s="68">
        <f t="shared" si="286"/>
        <v>2.84174573899625</v>
      </c>
      <c r="AE300" s="31">
        <f t="shared" si="287"/>
        <v>-81.0640262037806</v>
      </c>
      <c r="AF300" s="32" t="str">
        <f t="shared" si="288"/>
        <v>249,914648392112</v>
      </c>
      <c r="AG300" s="32" t="str">
        <f t="shared" si="270"/>
        <v>1+43,588223333247i</v>
      </c>
      <c r="AH300" s="32">
        <f t="shared" si="289"/>
        <v>43.5996928125534</v>
      </c>
      <c r="AI300" s="32">
        <f t="shared" si="290"/>
        <v>1.54785837396812</v>
      </c>
      <c r="AJ300" s="32" t="str">
        <f t="shared" si="271"/>
        <v>1+0,650917468443157i</v>
      </c>
      <c r="AK300" s="32">
        <f t="shared" si="291"/>
        <v>1.19318630176702</v>
      </c>
      <c r="AL300" s="32">
        <f t="shared" si="292"/>
        <v>0.577019919253472</v>
      </c>
      <c r="AM300" s="32" t="str">
        <f t="shared" si="272"/>
        <v>1-0,0658711751203061i</v>
      </c>
      <c r="AN300" s="32">
        <f t="shared" si="293"/>
        <v>1.0021671575699</v>
      </c>
      <c r="AO300" s="32">
        <f t="shared" si="294"/>
        <v>-0.0657761504523518</v>
      </c>
      <c r="AP300" s="30" t="str">
        <f t="shared" si="295"/>
        <v>3,48972582410682-5,89930990407861i</v>
      </c>
      <c r="AQ300" s="32">
        <f t="shared" si="296"/>
        <v>16.7191341615406</v>
      </c>
      <c r="AR300" s="31">
        <f t="shared" si="297"/>
        <v>-59.3936418576891</v>
      </c>
      <c r="AS300" t="str">
        <f t="shared" si="273"/>
        <v>-0,000100699300699301</v>
      </c>
      <c r="AT300" t="str">
        <f t="shared" si="274"/>
        <v>0,00932787979331488i</v>
      </c>
      <c r="AU300">
        <f t="shared" si="298"/>
        <v>0.00932787979331488</v>
      </c>
      <c r="AV300">
        <f t="shared" si="299"/>
        <v>1.5707963267949</v>
      </c>
      <c r="AW300" t="str">
        <f t="shared" si="275"/>
        <v>1+0,47757033639114i</v>
      </c>
      <c r="AX300">
        <f t="shared" si="300"/>
        <v>1.10818474371413</v>
      </c>
      <c r="AY300">
        <f t="shared" si="301"/>
        <v>0.44554341014493</v>
      </c>
      <c r="AZ300" t="str">
        <f t="shared" si="276"/>
        <v>1+22,8319265078913i</v>
      </c>
      <c r="BA300">
        <f t="shared" si="302"/>
        <v>22.8538151751901</v>
      </c>
      <c r="BB300">
        <f t="shared" si="303"/>
        <v>1.52702598162923</v>
      </c>
      <c r="BC300" s="30" t="str">
        <f t="shared" si="304"/>
        <v>-0,196508502528828+0,104642150352039i</v>
      </c>
      <c r="BD300" s="32">
        <f t="shared" si="305"/>
        <v>-13.0481988462286</v>
      </c>
      <c r="BE300" s="31">
        <f t="shared" si="306"/>
        <v>151.964386963006</v>
      </c>
      <c r="BF300" s="30" t="str">
        <f t="shared" si="307"/>
        <v>0,101043062226326+0,291800895884652i</v>
      </c>
      <c r="BG300" s="68">
        <f t="shared" si="308"/>
        <v>-10.2064531072324</v>
      </c>
      <c r="BH300" s="31">
        <f t="shared" si="309"/>
        <v>70.9003607592254</v>
      </c>
      <c r="BI300" s="30" t="str">
        <f t="shared" si="263"/>
        <v>-0,0684443219755448+1,52443696957755i</v>
      </c>
      <c r="BJ300" s="68">
        <f t="shared" si="310"/>
        <v>3.67093531531199</v>
      </c>
      <c r="BK300" s="31">
        <f t="shared" si="264"/>
        <v>92.570745105317</v>
      </c>
      <c r="BL300" s="32">
        <f t="shared" si="311"/>
        <v>-10.2064531072324</v>
      </c>
      <c r="BM300" s="31">
        <f t="shared" si="312"/>
        <v>70.9003607592254</v>
      </c>
      <c r="BO300">
        <f t="shared" si="313"/>
        <v>0</v>
      </c>
      <c r="BP300">
        <f t="shared" si="314"/>
        <v>0</v>
      </c>
    </row>
    <row r="301" spans="14:68">
      <c r="N301" s="7">
        <v>83</v>
      </c>
      <c r="O301" s="18">
        <f t="shared" si="315"/>
        <v>6760.82975391982</v>
      </c>
      <c r="P301" s="86" t="str">
        <f t="shared" si="265"/>
        <v>75</v>
      </c>
      <c r="Q301" s="4" t="str">
        <f t="shared" si="266"/>
        <v>1+69,3832587511469i</v>
      </c>
      <c r="R301" s="4">
        <f t="shared" si="277"/>
        <v>69.3904647262763</v>
      </c>
      <c r="S301" s="4">
        <f t="shared" si="278"/>
        <v>1.55638462598023</v>
      </c>
      <c r="T301" s="4" t="str">
        <f t="shared" si="267"/>
        <v>1+0,666079284011011i</v>
      </c>
      <c r="U301" s="4">
        <f t="shared" si="279"/>
        <v>1.20152470327856</v>
      </c>
      <c r="V301" s="4">
        <f t="shared" si="280"/>
        <v>0.587595843766707</v>
      </c>
      <c r="W301" t="str">
        <f t="shared" si="268"/>
        <v>1-0,349394267282561i</v>
      </c>
      <c r="X301" s="4">
        <f t="shared" si="281"/>
        <v>1.05928105524923</v>
      </c>
      <c r="Y301" s="4">
        <f t="shared" si="282"/>
        <v>-0.336135089244284</v>
      </c>
      <c r="Z301" t="str">
        <f t="shared" si="269"/>
        <v>0,999626866783988+0,109640575605051i</v>
      </c>
      <c r="AA301" s="4">
        <f t="shared" si="283"/>
        <v>1.00562166276159</v>
      </c>
      <c r="AB301" s="4">
        <f t="shared" si="284"/>
        <v>0.109244825066011</v>
      </c>
      <c r="AC301" s="67" t="str">
        <f t="shared" si="285"/>
        <v>0,213384062226827-1,35120651135326i</v>
      </c>
      <c r="AD301" s="68">
        <f t="shared" si="286"/>
        <v>2.72141513202408</v>
      </c>
      <c r="AE301" s="31">
        <f t="shared" si="287"/>
        <v>-81.0258978303319</v>
      </c>
      <c r="AF301" s="32" t="str">
        <f t="shared" si="288"/>
        <v>249,914648392112</v>
      </c>
      <c r="AG301" s="32" t="str">
        <f t="shared" si="270"/>
        <v>1+44,6035234828801i</v>
      </c>
      <c r="AH301" s="32">
        <f t="shared" si="289"/>
        <v>44.6147319513167</v>
      </c>
      <c r="AI301" s="32">
        <f t="shared" si="290"/>
        <v>1.54838032859584</v>
      </c>
      <c r="AJ301" s="32" t="str">
        <f t="shared" si="271"/>
        <v>1+0,666079284011011i</v>
      </c>
      <c r="AK301" s="32">
        <f t="shared" si="291"/>
        <v>1.20152470327856</v>
      </c>
      <c r="AL301" s="32">
        <f t="shared" si="292"/>
        <v>0.587595843766707</v>
      </c>
      <c r="AM301" s="32" t="str">
        <f t="shared" si="272"/>
        <v>1-0,0674055118939076i</v>
      </c>
      <c r="AN301" s="32">
        <f t="shared" si="293"/>
        <v>1.00226917693486</v>
      </c>
      <c r="AO301" s="32">
        <f t="shared" si="294"/>
        <v>-0.0673037035740472</v>
      </c>
      <c r="AP301" s="30" t="str">
        <f t="shared" si="295"/>
        <v>3,48389121033519-5,77647815176022i</v>
      </c>
      <c r="AQ301" s="32">
        <f t="shared" si="296"/>
        <v>16.5806100651041</v>
      </c>
      <c r="AR301" s="31">
        <f t="shared" si="297"/>
        <v>-58.9051141627528</v>
      </c>
      <c r="AS301" t="str">
        <f t="shared" si="273"/>
        <v>-0,000100699300699301</v>
      </c>
      <c r="AT301" t="str">
        <f t="shared" si="274"/>
        <v>0,00954515402533636i</v>
      </c>
      <c r="AU301">
        <f t="shared" si="298"/>
        <v>0.00954515402533636</v>
      </c>
      <c r="AV301">
        <f t="shared" si="299"/>
        <v>1.5707963267949</v>
      </c>
      <c r="AW301" t="str">
        <f t="shared" si="275"/>
        <v>1+0,488694378550216i</v>
      </c>
      <c r="AX301">
        <f t="shared" si="300"/>
        <v>1.11302389714982</v>
      </c>
      <c r="AY301">
        <f t="shared" si="301"/>
        <v>0.454562274555776</v>
      </c>
      <c r="AZ301" t="str">
        <f t="shared" si="276"/>
        <v>1+23,3637503957944i</v>
      </c>
      <c r="BA301">
        <f t="shared" si="302"/>
        <v>23.3851412772509</v>
      </c>
      <c r="BB301">
        <f t="shared" si="303"/>
        <v>1.52802108730544</v>
      </c>
      <c r="BC301" s="30" t="str">
        <f t="shared" si="304"/>
        <v>-0,194803476100213+0,105749146381107i</v>
      </c>
      <c r="BD301" s="32">
        <f t="shared" si="305"/>
        <v>-13.0864195424628</v>
      </c>
      <c r="BE301" s="31">
        <f t="shared" si="306"/>
        <v>151.50465945168</v>
      </c>
      <c r="BF301" s="30" t="str">
        <f t="shared" si="307"/>
        <v>0,101320978094031+0,285784907772677i</v>
      </c>
      <c r="BG301" s="68">
        <f t="shared" si="308"/>
        <v>-10.3650044104387</v>
      </c>
      <c r="BH301" s="31">
        <f t="shared" si="309"/>
        <v>70.4787616213482</v>
      </c>
      <c r="BI301" s="30" t="str">
        <f t="shared" si="263"/>
        <v>-0,0678164844905155+1,49369654515741i</v>
      </c>
      <c r="BJ301" s="68">
        <f t="shared" si="310"/>
        <v>3.49419052264128</v>
      </c>
      <c r="BK301" s="31">
        <f t="shared" si="264"/>
        <v>92.5995452889273</v>
      </c>
      <c r="BL301" s="32">
        <f t="shared" si="311"/>
        <v>-10.3650044104387</v>
      </c>
      <c r="BM301" s="31">
        <f t="shared" si="312"/>
        <v>70.4787616213482</v>
      </c>
      <c r="BO301">
        <f t="shared" si="313"/>
        <v>0</v>
      </c>
      <c r="BP301">
        <f t="shared" si="314"/>
        <v>0</v>
      </c>
    </row>
    <row r="302" spans="14:68">
      <c r="N302" s="7">
        <v>84</v>
      </c>
      <c r="O302" s="18">
        <f t="shared" si="315"/>
        <v>6918.30970918937</v>
      </c>
      <c r="P302" s="86" t="str">
        <f t="shared" si="265"/>
        <v>75</v>
      </c>
      <c r="Q302" s="4" t="str">
        <f t="shared" si="266"/>
        <v>1+70,9994024616509i</v>
      </c>
      <c r="R302" s="4">
        <f t="shared" si="277"/>
        <v>71.0064444252173</v>
      </c>
      <c r="S302" s="4">
        <f t="shared" si="278"/>
        <v>1.55671263245887</v>
      </c>
      <c r="T302" s="4" t="str">
        <f t="shared" si="267"/>
        <v>1+0,681594263631849i</v>
      </c>
      <c r="U302" s="4">
        <f t="shared" si="279"/>
        <v>1.21019450511719</v>
      </c>
      <c r="V302" s="4">
        <f t="shared" si="280"/>
        <v>0.598266019433879</v>
      </c>
      <c r="W302" t="str">
        <f t="shared" si="268"/>
        <v>1-0,357532705253314i</v>
      </c>
      <c r="X302" s="4">
        <f t="shared" si="281"/>
        <v>1.06199323694916</v>
      </c>
      <c r="Y302" s="4">
        <f t="shared" si="282"/>
        <v>-0.343369645364306</v>
      </c>
      <c r="Z302" t="str">
        <f t="shared" si="269"/>
        <v>0,999609281557288+0,112194432686276i</v>
      </c>
      <c r="AA302" s="4">
        <f t="shared" si="283"/>
        <v>1.00588583174298</v>
      </c>
      <c r="AB302" s="4">
        <f t="shared" si="284"/>
        <v>0.111770512089085</v>
      </c>
      <c r="AC302" s="67" t="str">
        <f t="shared" si="285"/>
        <v>0,211290650231338-1,33291581302624i</v>
      </c>
      <c r="AD302" s="68">
        <f t="shared" si="286"/>
        <v>2.60383467580489</v>
      </c>
      <c r="AE302" s="31">
        <f t="shared" si="287"/>
        <v>-80.9925559239396</v>
      </c>
      <c r="AF302" s="32" t="str">
        <f t="shared" si="288"/>
        <v>249,914648392112</v>
      </c>
      <c r="AG302" s="32" t="str">
        <f t="shared" si="270"/>
        <v>1+45,6424730110613i</v>
      </c>
      <c r="AH302" s="32">
        <f t="shared" si="289"/>
        <v>45.6534264055335</v>
      </c>
      <c r="AI302" s="32">
        <f t="shared" si="290"/>
        <v>1.54889041389004</v>
      </c>
      <c r="AJ302" s="32" t="str">
        <f t="shared" si="271"/>
        <v>1+0,681594263631849i</v>
      </c>
      <c r="AK302" s="32">
        <f t="shared" si="291"/>
        <v>1.21019450511719</v>
      </c>
      <c r="AL302" s="32">
        <f t="shared" si="292"/>
        <v>0.598266019433879</v>
      </c>
      <c r="AM302" s="32" t="str">
        <f t="shared" si="272"/>
        <v>1-0,0689755879621327i</v>
      </c>
      <c r="AN302" s="32">
        <f t="shared" si="293"/>
        <v>1.00237599319553</v>
      </c>
      <c r="AO302" s="32">
        <f t="shared" si="294"/>
        <v>-0.0688665123428184</v>
      </c>
      <c r="AP302" s="30" t="str">
        <f t="shared" si="295"/>
        <v>3,47831893951534-5,65669739225415i</v>
      </c>
      <c r="AQ302" s="32">
        <f t="shared" si="296"/>
        <v>16.444083358399</v>
      </c>
      <c r="AR302" s="31">
        <f t="shared" si="297"/>
        <v>-58.4125262115469</v>
      </c>
      <c r="AS302" t="str">
        <f t="shared" si="273"/>
        <v>-0,000100699300699301</v>
      </c>
      <c r="AT302" t="str">
        <f t="shared" si="274"/>
        <v>0,00976748922436713i</v>
      </c>
      <c r="AU302">
        <f t="shared" si="298"/>
        <v>0.00976748922436713</v>
      </c>
      <c r="AV302">
        <f t="shared" si="299"/>
        <v>1.5707963267949</v>
      </c>
      <c r="AW302" t="str">
        <f t="shared" si="275"/>
        <v>1+0,500077532937434i</v>
      </c>
      <c r="AX302">
        <f t="shared" si="300"/>
        <v>1.11806866468424</v>
      </c>
      <c r="AY302">
        <f t="shared" si="301"/>
        <v>0.463709633427099</v>
      </c>
      <c r="AZ302" t="str">
        <f t="shared" si="276"/>
        <v>1+23,907962053413i</v>
      </c>
      <c r="BA302">
        <f t="shared" si="302"/>
        <v>23.9288664492791</v>
      </c>
      <c r="BB302">
        <f t="shared" si="303"/>
        <v>1.52899362352682</v>
      </c>
      <c r="BC302" s="30" t="str">
        <f t="shared" si="304"/>
        <v>-0,193049520896992+0,106849368461502i</v>
      </c>
      <c r="BD302" s="32">
        <f t="shared" si="305"/>
        <v>-13.1260567257797</v>
      </c>
      <c r="BE302" s="31">
        <f t="shared" si="306"/>
        <v>151.03627661557</v>
      </c>
      <c r="BF302" s="30" t="str">
        <f t="shared" si="307"/>
        <v>0,10163165403703+0,279895031639779i</v>
      </c>
      <c r="BG302" s="68">
        <f t="shared" si="308"/>
        <v>-10.5222220499748</v>
      </c>
      <c r="BH302" s="31">
        <f t="shared" si="309"/>
        <v>70.0437206916304</v>
      </c>
      <c r="BI302" s="30" t="str">
        <f t="shared" si="263"/>
        <v>-0,0670732608601885+1,46367890342882i</v>
      </c>
      <c r="BJ302" s="68">
        <f t="shared" si="310"/>
        <v>3.31802663261926</v>
      </c>
      <c r="BK302" s="31">
        <f t="shared" si="264"/>
        <v>92.6237504040232</v>
      </c>
      <c r="BL302" s="32">
        <f t="shared" si="311"/>
        <v>-10.5222220499748</v>
      </c>
      <c r="BM302" s="31">
        <f t="shared" si="312"/>
        <v>70.0437206916304</v>
      </c>
      <c r="BO302">
        <f t="shared" si="313"/>
        <v>0</v>
      </c>
      <c r="BP302">
        <f t="shared" si="314"/>
        <v>0</v>
      </c>
    </row>
    <row r="303" spans="14:68">
      <c r="N303" s="7">
        <v>85</v>
      </c>
      <c r="O303" s="18">
        <f t="shared" si="315"/>
        <v>7079.45784384138</v>
      </c>
      <c r="P303" s="86" t="str">
        <f t="shared" si="265"/>
        <v>75</v>
      </c>
      <c r="Q303" s="4" t="str">
        <f t="shared" si="266"/>
        <v>1+72,6531909951283i</v>
      </c>
      <c r="R303" s="4">
        <f t="shared" si="277"/>
        <v>72.6600726793924</v>
      </c>
      <c r="S303" s="4">
        <f t="shared" si="278"/>
        <v>1.55703317552704</v>
      </c>
      <c r="T303" s="4" t="str">
        <f t="shared" si="267"/>
        <v>1+0,697470633553232i</v>
      </c>
      <c r="U303" s="4">
        <f t="shared" si="279"/>
        <v>1.21920682604271</v>
      </c>
      <c r="V303" s="4">
        <f t="shared" si="280"/>
        <v>0.609026385051883</v>
      </c>
      <c r="W303" t="str">
        <f t="shared" si="268"/>
        <v>1-0,365860711796896i</v>
      </c>
      <c r="X303" s="4">
        <f t="shared" si="281"/>
        <v>1.06482583572927</v>
      </c>
      <c r="Y303" s="4">
        <f t="shared" si="282"/>
        <v>-0.350734168869189</v>
      </c>
      <c r="Z303" t="str">
        <f t="shared" si="269"/>
        <v>0,999590867564386+0,114807776740781i</v>
      </c>
      <c r="AA303" s="4">
        <f t="shared" si="283"/>
        <v>1.00616237661636</v>
      </c>
      <c r="AB303" s="4">
        <f t="shared" si="284"/>
        <v>0.114353687586669</v>
      </c>
      <c r="AC303" s="67" t="str">
        <f t="shared" si="285"/>
        <v>0,209164518102722-1,31531683920541i</v>
      </c>
      <c r="AD303" s="68">
        <f t="shared" si="286"/>
        <v>2.48906654102216</v>
      </c>
      <c r="AE303" s="31">
        <f t="shared" si="287"/>
        <v>-80.9643593216765</v>
      </c>
      <c r="AF303" s="32" t="str">
        <f t="shared" si="288"/>
        <v>249,914648392112</v>
      </c>
      <c r="AG303" s="32" t="str">
        <f t="shared" si="270"/>
        <v>1+46,7056227825824i</v>
      </c>
      <c r="AH303" s="32">
        <f t="shared" si="289"/>
        <v>46.7163269051504</v>
      </c>
      <c r="AI303" s="32">
        <f t="shared" si="290"/>
        <v>1.54938889924235</v>
      </c>
      <c r="AJ303" s="32" t="str">
        <f t="shared" si="271"/>
        <v>1+0,697470633553232i</v>
      </c>
      <c r="AK303" s="32">
        <f t="shared" si="291"/>
        <v>1.21920682604271</v>
      </c>
      <c r="AL303" s="32">
        <f t="shared" si="292"/>
        <v>0.609026385051883</v>
      </c>
      <c r="AM303" s="32" t="str">
        <f t="shared" si="272"/>
        <v>1-0,0705822358000951i</v>
      </c>
      <c r="AN303" s="32">
        <f t="shared" si="293"/>
        <v>1.00248783135285</v>
      </c>
      <c r="AO303" s="32">
        <f t="shared" si="294"/>
        <v>-0.0704653748277175</v>
      </c>
      <c r="AP303" s="30" t="str">
        <f t="shared" si="295"/>
        <v>3,47299722694815-5,5399049012251i</v>
      </c>
      <c r="AQ303" s="32">
        <f t="shared" si="296"/>
        <v>16.3095903755588</v>
      </c>
      <c r="AR303" s="31">
        <f t="shared" si="297"/>
        <v>-57.9161718548605</v>
      </c>
      <c r="AS303" t="str">
        <f t="shared" si="273"/>
        <v>-0,000100699300699301</v>
      </c>
      <c r="AT303" t="str">
        <f t="shared" si="274"/>
        <v>0,00999500327547266i</v>
      </c>
      <c r="AU303">
        <f t="shared" si="298"/>
        <v>0.00999500327547266</v>
      </c>
      <c r="AV303">
        <f t="shared" si="299"/>
        <v>1.5707963267949</v>
      </c>
      <c r="AW303" t="str">
        <f t="shared" si="275"/>
        <v>1+0,511725835051924i</v>
      </c>
      <c r="AX303">
        <f t="shared" si="300"/>
        <v>1.12332690266885</v>
      </c>
      <c r="AY303">
        <f t="shared" si="301"/>
        <v>0.472984212673194</v>
      </c>
      <c r="AZ303" t="str">
        <f t="shared" si="276"/>
        <v>1+24,4648500289717i</v>
      </c>
      <c r="BA303">
        <f t="shared" si="302"/>
        <v>24.4852789843219</v>
      </c>
      <c r="BB303">
        <f t="shared" si="303"/>
        <v>1.52994409858194</v>
      </c>
      <c r="BC303" s="30" t="str">
        <f t="shared" si="304"/>
        <v>-0,191246440237319+0,107940708583179i</v>
      </c>
      <c r="BD303" s="32">
        <f t="shared" si="305"/>
        <v>-13.1671517880136</v>
      </c>
      <c r="BE303" s="31">
        <f t="shared" si="306"/>
        <v>150.5593405772</v>
      </c>
      <c r="BF303" s="30" t="str">
        <f t="shared" si="307"/>
        <v>0,101974262124119+0,274127029576704i</v>
      </c>
      <c r="BG303" s="68">
        <f t="shared" si="308"/>
        <v>-10.6780852469914</v>
      </c>
      <c r="BH303" s="31">
        <f t="shared" si="309"/>
        <v>69.594981255524</v>
      </c>
      <c r="BI303" s="30" t="str">
        <f t="shared" si="263"/>
        <v>-0,0662170960862504+1,43436487319678i</v>
      </c>
      <c r="BJ303" s="68">
        <f t="shared" si="310"/>
        <v>3.14243858754522</v>
      </c>
      <c r="BK303" s="31">
        <f t="shared" si="264"/>
        <v>92.6431687223399</v>
      </c>
      <c r="BL303" s="32">
        <f t="shared" si="311"/>
        <v>-10.6780852469914</v>
      </c>
      <c r="BM303" s="31">
        <f t="shared" si="312"/>
        <v>69.594981255524</v>
      </c>
      <c r="BO303">
        <f t="shared" si="313"/>
        <v>0</v>
      </c>
      <c r="BP303">
        <f t="shared" si="314"/>
        <v>0</v>
      </c>
    </row>
    <row r="304" spans="14:68">
      <c r="N304" s="7">
        <v>86</v>
      </c>
      <c r="O304" s="18">
        <f t="shared" si="315"/>
        <v>7244.3596007499</v>
      </c>
      <c r="P304" s="86" t="str">
        <f t="shared" si="265"/>
        <v>75</v>
      </c>
      <c r="Q304" s="4" t="str">
        <f t="shared" si="266"/>
        <v>1+74,3455012121499i</v>
      </c>
      <c r="R304" s="4">
        <f t="shared" si="277"/>
        <v>74.3522262644891</v>
      </c>
      <c r="S304" s="4">
        <f t="shared" si="278"/>
        <v>1.55734642487729</v>
      </c>
      <c r="T304" s="4" t="str">
        <f t="shared" si="267"/>
        <v>1+0,71371681163664i</v>
      </c>
      <c r="U304" s="4">
        <f t="shared" si="279"/>
        <v>1.22857302884801</v>
      </c>
      <c r="V304" s="4">
        <f t="shared" si="280"/>
        <v>0.61987267880287</v>
      </c>
      <c r="W304" t="str">
        <f t="shared" si="268"/>
        <v>1-0,374382702532612i</v>
      </c>
      <c r="X304" s="4">
        <f t="shared" si="281"/>
        <v>1.06778387698805</v>
      </c>
      <c r="Y304" s="4">
        <f t="shared" si="282"/>
        <v>-0.358229368167556</v>
      </c>
      <c r="Z304" t="str">
        <f t="shared" si="269"/>
        <v>0,999571585746735+0,117481993398175i</v>
      </c>
      <c r="AA304" s="4">
        <f t="shared" si="283"/>
        <v>1.00645187356627</v>
      </c>
      <c r="AB304" s="4">
        <f t="shared" si="284"/>
        <v>0.116995596214369</v>
      </c>
      <c r="AC304" s="67" t="str">
        <f t="shared" si="285"/>
        <v>0,20700137684157-1,29839933292949i</v>
      </c>
      <c r="AD304" s="68">
        <f t="shared" si="286"/>
        <v>2.37717219658196</v>
      </c>
      <c r="AE304" s="31">
        <f t="shared" si="287"/>
        <v>-80.9416738327223</v>
      </c>
      <c r="AF304" s="32" t="str">
        <f t="shared" si="288"/>
        <v>249,914648392112</v>
      </c>
      <c r="AG304" s="32" t="str">
        <f t="shared" si="270"/>
        <v>1+47,7935364935249i</v>
      </c>
      <c r="AH304" s="32">
        <f t="shared" si="289"/>
        <v>47.8039970144537</v>
      </c>
      <c r="AI304" s="32">
        <f t="shared" si="290"/>
        <v>1.5498760479648</v>
      </c>
      <c r="AJ304" s="32" t="str">
        <f t="shared" si="271"/>
        <v>1+0,71371681163664i</v>
      </c>
      <c r="AK304" s="32">
        <f t="shared" si="291"/>
        <v>1.22857302884801</v>
      </c>
      <c r="AL304" s="32">
        <f t="shared" si="292"/>
        <v>0.61987267880287</v>
      </c>
      <c r="AM304" s="32" t="str">
        <f t="shared" si="272"/>
        <v>1-0,072226307273745i</v>
      </c>
      <c r="AN304" s="32">
        <f t="shared" si="293"/>
        <v>1.0026049269091</v>
      </c>
      <c r="AO304" s="32">
        <f t="shared" si="294"/>
        <v>-0.0721011060502699</v>
      </c>
      <c r="AP304" s="30" t="str">
        <f t="shared" si="295"/>
        <v>3,46791481633985-5,42603948644236i</v>
      </c>
      <c r="AQ304" s="32">
        <f t="shared" si="296"/>
        <v>16.177166263917</v>
      </c>
      <c r="AR304" s="31">
        <f t="shared" si="297"/>
        <v>-57.416357060831</v>
      </c>
      <c r="AS304" t="str">
        <f t="shared" si="273"/>
        <v>-0,000100699300699301</v>
      </c>
      <c r="AT304" t="str">
        <f t="shared" si="274"/>
        <v>0,0102278168096144i</v>
      </c>
      <c r="AU304">
        <f t="shared" si="298"/>
        <v>0.0102278168096144</v>
      </c>
      <c r="AV304">
        <f t="shared" si="299"/>
        <v>1.5707963267949</v>
      </c>
      <c r="AW304" t="str">
        <f t="shared" si="275"/>
        <v>1+0,523645460977651i</v>
      </c>
      <c r="AX304">
        <f t="shared" si="300"/>
        <v>1.12880670125691</v>
      </c>
      <c r="AY304">
        <f t="shared" si="301"/>
        <v>0.482384546645558</v>
      </c>
      <c r="AZ304" t="str">
        <f t="shared" si="276"/>
        <v>1+25,0347095918464i</v>
      </c>
      <c r="BA304">
        <f t="shared" si="302"/>
        <v>25.05467390225</v>
      </c>
      <c r="BB304">
        <f t="shared" si="303"/>
        <v>1.53087300955206</v>
      </c>
      <c r="BC304" s="30" t="str">
        <f t="shared" si="304"/>
        <v>-0,189394133317977+0,109021008314637i</v>
      </c>
      <c r="BD304" s="32">
        <f t="shared" si="305"/>
        <v>-13.2097462109621</v>
      </c>
      <c r="BE304" s="31">
        <f t="shared" si="306"/>
        <v>150.073963792701</v>
      </c>
      <c r="BF304" s="30" t="str">
        <f t="shared" si="307"/>
        <v>0,102347958108488+0,268476715186606i</v>
      </c>
      <c r="BG304" s="68">
        <f t="shared" si="308"/>
        <v>-10.8325740143801</v>
      </c>
      <c r="BH304" s="31">
        <f t="shared" si="309"/>
        <v>69.132289959979</v>
      </c>
      <c r="BI304" s="30" t="str">
        <f t="shared" si="263"/>
        <v>-0,0652504250942761+1,40573561591051i</v>
      </c>
      <c r="BJ304" s="68">
        <f t="shared" si="310"/>
        <v>2.96742005295492</v>
      </c>
      <c r="BK304" s="31">
        <f t="shared" si="264"/>
        <v>92.6576067318704</v>
      </c>
      <c r="BL304" s="32">
        <f t="shared" si="311"/>
        <v>-10.8325740143801</v>
      </c>
      <c r="BM304" s="31">
        <f t="shared" si="312"/>
        <v>69.132289959979</v>
      </c>
      <c r="BO304">
        <f t="shared" si="313"/>
        <v>0</v>
      </c>
      <c r="BP304">
        <f t="shared" si="314"/>
        <v>0</v>
      </c>
    </row>
    <row r="305" spans="14:68">
      <c r="N305" s="7">
        <v>87</v>
      </c>
      <c r="O305" s="18">
        <f t="shared" si="315"/>
        <v>7413.10241300918</v>
      </c>
      <c r="P305" s="86" t="str">
        <f t="shared" si="265"/>
        <v>75</v>
      </c>
      <c r="Q305" s="4" t="str">
        <f t="shared" si="266"/>
        <v>1+76,0772303979934i</v>
      </c>
      <c r="R305" s="4">
        <f t="shared" si="277"/>
        <v>76.083802382829</v>
      </c>
      <c r="S305" s="4">
        <f t="shared" si="278"/>
        <v>1.55765254635252</v>
      </c>
      <c r="T305" s="4" t="str">
        <f t="shared" si="267"/>
        <v>1+0,730341411820737i</v>
      </c>
      <c r="U305" s="4">
        <f t="shared" si="279"/>
        <v>1.23830471929179</v>
      </c>
      <c r="V305" s="4">
        <f t="shared" si="280"/>
        <v>0.630800443831653</v>
      </c>
      <c r="W305" t="str">
        <f t="shared" si="268"/>
        <v>1-0,383103195932753i</v>
      </c>
      <c r="X305" s="4">
        <f t="shared" si="281"/>
        <v>1.07087256885863</v>
      </c>
      <c r="Y305" s="4">
        <f t="shared" si="282"/>
        <v>-0.365855847801631</v>
      </c>
      <c r="Z305" t="str">
        <f t="shared" si="269"/>
        <v>0,999551395205014+0,120218500563526i</v>
      </c>
      <c r="AA305" s="4">
        <f t="shared" si="283"/>
        <v>1.00675492525939</v>
      </c>
      <c r="AB305" s="4">
        <f t="shared" si="284"/>
        <v>0.119697505056252</v>
      </c>
      <c r="AC305" s="67" t="str">
        <f t="shared" si="285"/>
        <v>0,204796879406722-1,28215332715828i</v>
      </c>
      <c r="AD305" s="68">
        <f t="shared" si="286"/>
        <v>2.26821227170152</v>
      </c>
      <c r="AE305" s="31">
        <f t="shared" si="287"/>
        <v>-80.9248715544555</v>
      </c>
      <c r="AF305" s="32" t="str">
        <f t="shared" si="288"/>
        <v>249,914648392112</v>
      </c>
      <c r="AG305" s="32" t="str">
        <f t="shared" si="270"/>
        <v>1+48,9067909701386i</v>
      </c>
      <c r="AH305" s="32">
        <f t="shared" si="289"/>
        <v>48.9170134308794</v>
      </c>
      <c r="AI305" s="32">
        <f t="shared" si="290"/>
        <v>1.55035211742468</v>
      </c>
      <c r="AJ305" s="32" t="str">
        <f t="shared" si="271"/>
        <v>1+0,730341411820737i</v>
      </c>
      <c r="AK305" s="32">
        <f t="shared" si="291"/>
        <v>1.23830471929179</v>
      </c>
      <c r="AL305" s="32">
        <f t="shared" si="292"/>
        <v>0.630800443831653</v>
      </c>
      <c r="AM305" s="32" t="str">
        <f t="shared" si="272"/>
        <v>1-0,0739086740915398i</v>
      </c>
      <c r="AN305" s="32">
        <f t="shared" si="293"/>
        <v>1.00272752635298</v>
      </c>
      <c r="AO305" s="32">
        <f t="shared" si="294"/>
        <v>-0.0737745382644581</v>
      </c>
      <c r="AP305" s="30" t="str">
        <f t="shared" si="295"/>
        <v>3,46306095619509-5,31504145881782i</v>
      </c>
      <c r="AQ305" s="32">
        <f t="shared" si="296"/>
        <v>16.0468448754211</v>
      </c>
      <c r="AR305" s="31">
        <f t="shared" si="297"/>
        <v>-56.9133996191519</v>
      </c>
      <c r="AS305" t="str">
        <f t="shared" si="273"/>
        <v>-0,000100699300699301</v>
      </c>
      <c r="AT305" t="str">
        <f t="shared" si="274"/>
        <v>0,0104660532676097i</v>
      </c>
      <c r="AU305">
        <f t="shared" si="298"/>
        <v>0.0104660532676097</v>
      </c>
      <c r="AV305">
        <f t="shared" si="299"/>
        <v>1.5707963267949</v>
      </c>
      <c r="AW305" t="str">
        <f t="shared" si="275"/>
        <v>1+0,535842730658056i</v>
      </c>
      <c r="AX305">
        <f t="shared" si="300"/>
        <v>1.13451638683585</v>
      </c>
      <c r="AY305">
        <f t="shared" si="301"/>
        <v>0.491908973265042</v>
      </c>
      <c r="AZ305" t="str">
        <f t="shared" si="276"/>
        <v>1+25,6178428891202i</v>
      </c>
      <c r="BA305">
        <f t="shared" si="302"/>
        <v>25.6373531061934</v>
      </c>
      <c r="BB305">
        <f t="shared" si="303"/>
        <v>1.53178084254212</v>
      </c>
      <c r="BC305" s="30" t="str">
        <f t="shared" si="304"/>
        <v>-0,187492600948876+0,110088063435745i</v>
      </c>
      <c r="BD305" s="32">
        <f t="shared" si="305"/>
        <v>-13.2538814860358</v>
      </c>
      <c r="BE305" s="31">
        <f t="shared" si="306"/>
        <v>149.580269343956</v>
      </c>
      <c r="BF305" s="30" t="str">
        <f t="shared" si="307"/>
        <v>0,102751877228373+0,262939953975731i</v>
      </c>
      <c r="BG305" s="68">
        <f t="shared" si="308"/>
        <v>-10.9856692143343</v>
      </c>
      <c r="BH305" s="31">
        <f t="shared" si="309"/>
        <v>68.6553977895009</v>
      </c>
      <c r="BI305" s="30" t="str">
        <f t="shared" si="263"/>
        <v>-0,064175684639568+1,37777262149232i</v>
      </c>
      <c r="BJ305" s="68">
        <f t="shared" si="310"/>
        <v>2.79296338938528</v>
      </c>
      <c r="BK305" s="31">
        <f t="shared" si="264"/>
        <v>92.6668697248046</v>
      </c>
      <c r="BL305" s="32">
        <f t="shared" si="311"/>
        <v>-10.9856692143343</v>
      </c>
      <c r="BM305" s="31">
        <f t="shared" si="312"/>
        <v>68.6553977895009</v>
      </c>
      <c r="BO305">
        <f t="shared" si="313"/>
        <v>0</v>
      </c>
      <c r="BP305">
        <f t="shared" si="314"/>
        <v>0</v>
      </c>
    </row>
    <row r="306" spans="14:68">
      <c r="N306" s="7">
        <v>88</v>
      </c>
      <c r="O306" s="18">
        <f t="shared" si="315"/>
        <v>7585.77575029184</v>
      </c>
      <c r="P306" s="86" t="str">
        <f t="shared" si="265"/>
        <v>75</v>
      </c>
      <c r="Q306" s="4" t="str">
        <f t="shared" si="266"/>
        <v>1+77,849296738395i</v>
      </c>
      <c r="R306" s="4">
        <f t="shared" si="277"/>
        <v>77.8557191390759</v>
      </c>
      <c r="S306" s="4">
        <f t="shared" si="278"/>
        <v>1.55795170203277</v>
      </c>
      <c r="T306" s="4" t="str">
        <f t="shared" si="267"/>
        <v>1+0,747353248688593i</v>
      </c>
      <c r="U306" s="4">
        <f t="shared" si="279"/>
        <v>1.24841374484799</v>
      </c>
      <c r="V306" s="4">
        <f t="shared" si="280"/>
        <v>0.641805034816976</v>
      </c>
      <c r="W306" t="str">
        <f t="shared" si="268"/>
        <v>1-0,392026815718347i</v>
      </c>
      <c r="X306" s="4">
        <f t="shared" si="281"/>
        <v>1.07409730669165</v>
      </c>
      <c r="Y306" s="4">
        <f t="shared" si="282"/>
        <v>-0.37361410178262</v>
      </c>
      <c r="Z306" t="str">
        <f t="shared" si="269"/>
        <v>0,999530253112378+0,123018749169156i</v>
      </c>
      <c r="AA306" s="4">
        <f t="shared" si="283"/>
        <v>1.00707216202914</v>
      </c>
      <c r="AB306" s="4">
        <f t="shared" si="284"/>
        <v>0.122460703700515</v>
      </c>
      <c r="AC306" s="67" t="str">
        <f t="shared" si="285"/>
        <v>0,202546613416999-1,26656913527888i</v>
      </c>
      <c r="AD306" s="68">
        <f t="shared" si="286"/>
        <v>2.16224641604959</v>
      </c>
      <c r="AE306" s="31">
        <f t="shared" si="287"/>
        <v>-80.9143301233983</v>
      </c>
      <c r="AF306" s="32" t="str">
        <f t="shared" si="288"/>
        <v>249,914648392112</v>
      </c>
      <c r="AG306" s="32" t="str">
        <f t="shared" si="270"/>
        <v>1+50,0459764746825i</v>
      </c>
      <c r="AH306" s="32">
        <f t="shared" si="289"/>
        <v>50.0559662907877</v>
      </c>
      <c r="AI306" s="32">
        <f t="shared" si="290"/>
        <v>1.55081735917667</v>
      </c>
      <c r="AJ306" s="32" t="str">
        <f t="shared" si="271"/>
        <v>1+0,747353248688593i</v>
      </c>
      <c r="AK306" s="32">
        <f t="shared" si="291"/>
        <v>1.24841374484799</v>
      </c>
      <c r="AL306" s="32">
        <f t="shared" si="292"/>
        <v>0.641805034816976</v>
      </c>
      <c r="AM306" s="32" t="str">
        <f t="shared" si="272"/>
        <v>1-0,0756302282666349i</v>
      </c>
      <c r="AN306" s="32">
        <f t="shared" si="293"/>
        <v>1.00285588766665</v>
      </c>
      <c r="AO306" s="32">
        <f t="shared" si="294"/>
        <v>-0.0754865212352727</v>
      </c>
      <c r="AP306" s="30" t="str">
        <f t="shared" si="295"/>
        <v>3,45842537725704-5,20685260400961i</v>
      </c>
      <c r="AQ306" s="32">
        <f t="shared" si="296"/>
        <v>15.9186586601372</v>
      </c>
      <c r="AR306" s="31">
        <f t="shared" si="297"/>
        <v>-56.4076287880933</v>
      </c>
      <c r="AS306" t="str">
        <f t="shared" si="273"/>
        <v>-0,000100699300699301</v>
      </c>
      <c r="AT306" t="str">
        <f t="shared" si="274"/>
        <v>0,0107098389655821i</v>
      </c>
      <c r="AU306">
        <f t="shared" si="298"/>
        <v>0.0107098389655821</v>
      </c>
      <c r="AV306">
        <f t="shared" si="299"/>
        <v>1.5707963267949</v>
      </c>
      <c r="AW306" t="str">
        <f t="shared" si="275"/>
        <v>1+0,548324111246972i</v>
      </c>
      <c r="AX306">
        <f t="shared" si="300"/>
        <v>1.14046452420704</v>
      </c>
      <c r="AY306">
        <f t="shared" si="301"/>
        <v>0.501555629629931</v>
      </c>
      <c r="AZ306" t="str">
        <f t="shared" si="276"/>
        <v>1+26,2145591057861i</v>
      </c>
      <c r="BA306">
        <f t="shared" si="302"/>
        <v>26.2336255426266</v>
      </c>
      <c r="BB306">
        <f t="shared" si="303"/>
        <v>1.53266807290819</v>
      </c>
      <c r="BC306" s="30" t="str">
        <f t="shared" si="304"/>
        <v>-0,185541951094367+0,111139629151431i</v>
      </c>
      <c r="BD306" s="32">
        <f t="shared" si="305"/>
        <v>-13.2995990291656</v>
      </c>
      <c r="BE306" s="31">
        <f t="shared" si="306"/>
        <v>149.078391203266</v>
      </c>
      <c r="BF306" s="30" t="str">
        <f t="shared" si="307"/>
        <v>0,103185130148597+0,257512664056592i</v>
      </c>
      <c r="BG306" s="68">
        <f t="shared" si="308"/>
        <v>-11.137352613116</v>
      </c>
      <c r="BH306" s="31">
        <f t="shared" si="309"/>
        <v>68.164061079868</v>
      </c>
      <c r="BI306" s="30" t="str">
        <f t="shared" ref="BI306:BI369" si="316">IMPRODUCT(AP306,BC306)</f>
        <v>-0,0629953247547527+1,35045770508497i</v>
      </c>
      <c r="BJ306" s="68">
        <f t="shared" si="310"/>
        <v>2.6190596309716</v>
      </c>
      <c r="BK306" s="31">
        <f t="shared" ref="BK306:BK369" si="317">(180/PI())*IMARGUMENT(BI306)</f>
        <v>92.670762415173</v>
      </c>
      <c r="BL306" s="32">
        <f t="shared" si="311"/>
        <v>-11.137352613116</v>
      </c>
      <c r="BM306" s="31">
        <f t="shared" si="312"/>
        <v>68.164061079868</v>
      </c>
      <c r="BO306">
        <f t="shared" si="313"/>
        <v>0</v>
      </c>
      <c r="BP306">
        <f t="shared" si="314"/>
        <v>0</v>
      </c>
    </row>
    <row r="307" spans="14:68">
      <c r="N307" s="7">
        <v>89</v>
      </c>
      <c r="O307" s="18">
        <f t="shared" si="315"/>
        <v>7762.47116628693</v>
      </c>
      <c r="P307" s="86" t="str">
        <f t="shared" si="265"/>
        <v>75</v>
      </c>
      <c r="Q307" s="4" t="str">
        <f t="shared" si="266"/>
        <v>1+79,6626398063847i</v>
      </c>
      <c r="R307" s="4">
        <f t="shared" si="277"/>
        <v>79.6689160270289</v>
      </c>
      <c r="S307" s="4">
        <f t="shared" si="278"/>
        <v>1.55824405032004</v>
      </c>
      <c r="T307" s="4" t="str">
        <f t="shared" si="267"/>
        <v>1+0,764761342141294i</v>
      </c>
      <c r="U307" s="4">
        <f t="shared" si="279"/>
        <v>1.25891219329775</v>
      </c>
      <c r="V307" s="4">
        <f t="shared" si="280"/>
        <v>0.652881625532901</v>
      </c>
      <c r="W307" t="str">
        <f t="shared" si="268"/>
        <v>1-0,401158293310723i</v>
      </c>
      <c r="X307" s="4">
        <f t="shared" si="281"/>
        <v>1.07746367748151</v>
      </c>
      <c r="Y307" s="4">
        <f t="shared" si="282"/>
        <v>-0.381504506832431</v>
      </c>
      <c r="Z307" t="str">
        <f t="shared" si="269"/>
        <v>0,999508114623613+0,125884223943942i</v>
      </c>
      <c r="AA307" s="4">
        <f t="shared" si="283"/>
        <v>1.00740424311019</v>
      </c>
      <c r="AB307" s="4">
        <f t="shared" si="284"/>
        <v>0.125286504287634</v>
      </c>
      <c r="AC307" s="67" t="str">
        <f t="shared" si="285"/>
        <v>0,20024609388622-1,25163734146452i</v>
      </c>
      <c r="AD307" s="68">
        <f t="shared" si="286"/>
        <v>2.05933315849719</v>
      </c>
      <c r="AE307" s="31">
        <f t="shared" si="287"/>
        <v>-80.9104319023807</v>
      </c>
      <c r="AF307" s="32" t="str">
        <f t="shared" si="288"/>
        <v>249,914648392112</v>
      </c>
      <c r="AG307" s="32" t="str">
        <f t="shared" si="270"/>
        <v>1+51,2116970183901i</v>
      </c>
      <c r="AH307" s="32">
        <f t="shared" si="289"/>
        <v>51.2214594823633</v>
      </c>
      <c r="AI307" s="32">
        <f t="shared" si="290"/>
        <v>1.55127201909202</v>
      </c>
      <c r="AJ307" s="32" t="str">
        <f t="shared" si="271"/>
        <v>1+0,764761342141294i</v>
      </c>
      <c r="AK307" s="32">
        <f t="shared" si="291"/>
        <v>1.25891219329775</v>
      </c>
      <c r="AL307" s="32">
        <f t="shared" si="292"/>
        <v>0.652881625532901</v>
      </c>
      <c r="AM307" s="32" t="str">
        <f t="shared" si="272"/>
        <v>1-0,0773918825898413i</v>
      </c>
      <c r="AN307" s="32">
        <f t="shared" si="293"/>
        <v>1.0029902808556</v>
      </c>
      <c r="AO307" s="32">
        <f t="shared" si="294"/>
        <v>-0.0772379225152622</v>
      </c>
      <c r="AP307" s="30" t="str">
        <f t="shared" si="295"/>
        <v>3,4539982709487-5,10141615459126i</v>
      </c>
      <c r="AQ307" s="32">
        <f t="shared" si="296"/>
        <v>15.7926385626199</v>
      </c>
      <c r="AR307" s="31">
        <f t="shared" si="297"/>
        <v>-55.8993848845175</v>
      </c>
      <c r="AS307" t="str">
        <f t="shared" si="273"/>
        <v>-0,000100699300699301</v>
      </c>
      <c r="AT307" t="str">
        <f t="shared" si="274"/>
        <v>0,0109593031619355i</v>
      </c>
      <c r="AU307">
        <f t="shared" si="298"/>
        <v>0.0109593031619355</v>
      </c>
      <c r="AV307">
        <f t="shared" si="299"/>
        <v>1.5707963267949</v>
      </c>
      <c r="AW307" t="str">
        <f t="shared" si="275"/>
        <v>1+0,5610962205376i</v>
      </c>
      <c r="AX307">
        <f t="shared" si="300"/>
        <v>1.14665991850312</v>
      </c>
      <c r="AY307">
        <f t="shared" si="301"/>
        <v>0.511322448155377</v>
      </c>
      <c r="AZ307" t="str">
        <f t="shared" si="276"/>
        <v>1+26,8251746286805i</v>
      </c>
      <c r="BA307">
        <f t="shared" si="302"/>
        <v>26.8438073651858</v>
      </c>
      <c r="BB307">
        <f t="shared" si="303"/>
        <v>1.53353516548108</v>
      </c>
      <c r="BC307" s="30" t="str">
        <f t="shared" si="304"/>
        <v>-0,183542404162628+0,112173425888009i</v>
      </c>
      <c r="BD307" s="32">
        <f t="shared" si="305"/>
        <v>-13.3469400911558</v>
      </c>
      <c r="BE307" s="31">
        <f t="shared" si="306"/>
        <v>148.568474467363</v>
      </c>
      <c r="BF307" s="30" t="str">
        <f t="shared" si="307"/>
        <v>0,103646799065383+0,252190817164027i</v>
      </c>
      <c r="BG307" s="68">
        <f t="shared" si="308"/>
        <v>-11.2876069326586</v>
      </c>
      <c r="BH307" s="31">
        <f t="shared" si="309"/>
        <v>67.6580425649818</v>
      </c>
      <c r="BI307" s="30" t="str">
        <f t="shared" si="316"/>
        <v>-0,0617118196825499+1,32377300471132i</v>
      </c>
      <c r="BJ307" s="68">
        <f t="shared" si="310"/>
        <v>2.44569847146403</v>
      </c>
      <c r="BK307" s="31">
        <f t="shared" si="317"/>
        <v>92.669089582845</v>
      </c>
      <c r="BL307" s="32">
        <f t="shared" si="311"/>
        <v>-11.2876069326586</v>
      </c>
      <c r="BM307" s="31">
        <f t="shared" si="312"/>
        <v>67.6580425649818</v>
      </c>
      <c r="BO307">
        <f t="shared" si="313"/>
        <v>0</v>
      </c>
      <c r="BP307">
        <f t="shared" si="314"/>
        <v>0</v>
      </c>
    </row>
    <row r="308" spans="14:68">
      <c r="N308" s="7">
        <v>90</v>
      </c>
      <c r="O308" s="18">
        <f t="shared" si="315"/>
        <v>7943.28234724282</v>
      </c>
      <c r="P308" s="86" t="str">
        <f t="shared" si="265"/>
        <v>75</v>
      </c>
      <c r="Q308" s="4" t="str">
        <f t="shared" si="266"/>
        <v>1+81,5182210604593i</v>
      </c>
      <c r="R308" s="4">
        <f t="shared" si="277"/>
        <v>81.5243544277531</v>
      </c>
      <c r="S308" s="4">
        <f t="shared" si="278"/>
        <v>1.55852974602125</v>
      </c>
      <c r="T308" s="4" t="str">
        <f t="shared" si="267"/>
        <v>1+0,78257492218041i</v>
      </c>
      <c r="U308" s="4">
        <f t="shared" si="279"/>
        <v>1.26981239119237</v>
      </c>
      <c r="V308" s="4">
        <f t="shared" si="280"/>
        <v>0.664025217387735</v>
      </c>
      <c r="W308" t="str">
        <f t="shared" si="268"/>
        <v>1-0,41050247034017i</v>
      </c>
      <c r="X308" s="4">
        <f t="shared" si="281"/>
        <v>1.0809774642218</v>
      </c>
      <c r="Y308" s="4">
        <f t="shared" si="282"/>
        <v>-0.389527315556828</v>
      </c>
      <c r="Z308" t="str">
        <f t="shared" si="269"/>
        <v>0,999484932780016+0,128816444200537i</v>
      </c>
      <c r="AA308" s="4">
        <f t="shared" si="283"/>
        <v>1.00775185792473</v>
      </c>
      <c r="AB308" s="4">
        <f t="shared" si="284"/>
        <v>0.128176241528573</v>
      </c>
      <c r="AC308" s="67" t="str">
        <f t="shared" si="285"/>
        <v>0,197890755991292-1,2373487908667i</v>
      </c>
      <c r="AD308" s="68">
        <f t="shared" si="286"/>
        <v>1.95952976505106</v>
      </c>
      <c r="AE308" s="31">
        <f t="shared" si="287"/>
        <v>-80.913563105943</v>
      </c>
      <c r="AF308" s="32" t="str">
        <f t="shared" si="288"/>
        <v>249,914648392112</v>
      </c>
      <c r="AG308" s="32" t="str">
        <f t="shared" si="270"/>
        <v>1+52,4045706817238i</v>
      </c>
      <c r="AH308" s="32">
        <f t="shared" si="289"/>
        <v>52.4141109658056</v>
      </c>
      <c r="AI308" s="32">
        <f t="shared" si="290"/>
        <v>1.55171633748512</v>
      </c>
      <c r="AJ308" s="32" t="str">
        <f t="shared" si="271"/>
        <v>1+0,78257492218041i</v>
      </c>
      <c r="AK308" s="32">
        <f t="shared" si="291"/>
        <v>1.26981239119237</v>
      </c>
      <c r="AL308" s="32">
        <f t="shared" si="292"/>
        <v>0.664025217387735</v>
      </c>
      <c r="AM308" s="32" t="str">
        <f t="shared" si="272"/>
        <v>1-0,0791945711135995i</v>
      </c>
      <c r="AN308" s="32">
        <f t="shared" si="293"/>
        <v>1.00313098850243</v>
      </c>
      <c r="AO308" s="32">
        <f t="shared" si="294"/>
        <v>-0.0790296277184598</v>
      </c>
      <c r="AP308" s="30" t="str">
        <f t="shared" si="295"/>
        <v>3,44977026877194-4,99867676278642i</v>
      </c>
      <c r="AQ308" s="32">
        <f t="shared" si="296"/>
        <v>15.6688139219278</v>
      </c>
      <c r="AR308" s="31">
        <f t="shared" si="297"/>
        <v>-55.3890188175787</v>
      </c>
      <c r="AS308" t="str">
        <f t="shared" si="273"/>
        <v>-0,000100699300699301</v>
      </c>
      <c r="AT308" t="str">
        <f t="shared" si="274"/>
        <v>0,0112145781258889i</v>
      </c>
      <c r="AU308">
        <f t="shared" si="298"/>
        <v>0.0112145781258889</v>
      </c>
      <c r="AV308">
        <f t="shared" si="299"/>
        <v>1.5707963267949</v>
      </c>
      <c r="AW308" t="str">
        <f t="shared" si="275"/>
        <v>1+0,574165830471343i</v>
      </c>
      <c r="AX308">
        <f t="shared" si="300"/>
        <v>1.15311161683544</v>
      </c>
      <c r="AY308">
        <f t="shared" si="301"/>
        <v>0.521207153299462</v>
      </c>
      <c r="AZ308" t="str">
        <f t="shared" si="276"/>
        <v>1+27,4500132142363i</v>
      </c>
      <c r="BA308">
        <f t="shared" si="302"/>
        <v>27.4682221023085</v>
      </c>
      <c r="BB308">
        <f t="shared" si="303"/>
        <v>1.53438257478641</v>
      </c>
      <c r="BC308" s="30" t="str">
        <f t="shared" si="304"/>
        <v>-0,181494297982026+0,113187145667949i</v>
      </c>
      <c r="BD308" s="32">
        <f t="shared" si="305"/>
        <v>-13.3959456637183</v>
      </c>
      <c r="BE308" s="31">
        <f t="shared" si="306"/>
        <v>148.05067555759</v>
      </c>
      <c r="BF308" s="30" t="str">
        <f t="shared" si="307"/>
        <v>0,104135933998118+0,246970439981987i</v>
      </c>
      <c r="BG308" s="68">
        <f t="shared" si="308"/>
        <v>-11.4364158986673</v>
      </c>
      <c r="BH308" s="31">
        <f t="shared" si="309"/>
        <v>67.1371124516474</v>
      </c>
      <c r="BI308" s="30" t="str">
        <f t="shared" si="316"/>
        <v>-0,06032767823353+1,29770097983344i</v>
      </c>
      <c r="BJ308" s="68">
        <f t="shared" si="310"/>
        <v>2.27286825820947</v>
      </c>
      <c r="BK308" s="31">
        <f t="shared" si="317"/>
        <v>92.6616567400118</v>
      </c>
      <c r="BL308" s="32">
        <f t="shared" si="311"/>
        <v>-11.4364158986673</v>
      </c>
      <c r="BM308" s="31">
        <f t="shared" si="312"/>
        <v>67.1371124516474</v>
      </c>
      <c r="BO308">
        <f t="shared" si="313"/>
        <v>0</v>
      </c>
      <c r="BP308">
        <f t="shared" si="314"/>
        <v>0</v>
      </c>
    </row>
    <row r="309" spans="14:68">
      <c r="N309" s="7">
        <v>91</v>
      </c>
      <c r="O309" s="18">
        <f t="shared" si="315"/>
        <v>8128.30516164101</v>
      </c>
      <c r="P309" s="86" t="str">
        <f t="shared" si="265"/>
        <v>75</v>
      </c>
      <c r="Q309" s="4" t="str">
        <f t="shared" si="266"/>
        <v>1+83,4170243543615i</v>
      </c>
      <c r="R309" s="4">
        <f t="shared" si="277"/>
        <v>83.4230181193185</v>
      </c>
      <c r="S309" s="4">
        <f t="shared" si="278"/>
        <v>1.55880894042938</v>
      </c>
      <c r="T309" s="4" t="str">
        <f t="shared" si="267"/>
        <v>1+0,800803433801871i</v>
      </c>
      <c r="U309" s="4">
        <f t="shared" si="279"/>
        <v>1.28112690221885</v>
      </c>
      <c r="V309" s="4">
        <f t="shared" si="280"/>
        <v>0.675230648918746</v>
      </c>
      <c r="W309" t="str">
        <f t="shared" si="268"/>
        <v>1-0,420064301213035i</v>
      </c>
      <c r="X309" s="4">
        <f t="shared" si="281"/>
        <v>1.08464465017516</v>
      </c>
      <c r="Y309" s="4">
        <f t="shared" si="282"/>
        <v>-0.397682649577933</v>
      </c>
      <c r="Z309" t="str">
        <f t="shared" si="269"/>
        <v>0,99946065840979+0,131816964640934i</v>
      </c>
      <c r="AA309" s="4">
        <f t="shared" si="283"/>
        <v>1.00811572742224</v>
      </c>
      <c r="AB309" s="4">
        <f t="shared" si="284"/>
        <v>0.131131272690489</v>
      </c>
      <c r="AC309" s="67" t="str">
        <f t="shared" si="285"/>
        <v>0,195475947874452-1,22369457962078i</v>
      </c>
      <c r="AD309" s="68">
        <f t="shared" si="286"/>
        <v>1.86289209655258</v>
      </c>
      <c r="AE309" s="31">
        <f t="shared" si="287"/>
        <v>-80.9241128666793</v>
      </c>
      <c r="AF309" s="32" t="str">
        <f t="shared" si="288"/>
        <v>249,914648392112</v>
      </c>
      <c r="AG309" s="32" t="str">
        <f t="shared" si="270"/>
        <v>1+53,6252299420895i</v>
      </c>
      <c r="AH309" s="32">
        <f t="shared" si="289"/>
        <v>53.6345531009812</v>
      </c>
      <c r="AI309" s="32">
        <f t="shared" si="290"/>
        <v>1.55215054923733</v>
      </c>
      <c r="AJ309" s="32" t="str">
        <f t="shared" si="271"/>
        <v>1+0,800803433801871i</v>
      </c>
      <c r="AK309" s="32">
        <f t="shared" si="291"/>
        <v>1.28112690221885</v>
      </c>
      <c r="AL309" s="32">
        <f t="shared" si="292"/>
        <v>0.675230648918746</v>
      </c>
      <c r="AM309" s="32" t="str">
        <f t="shared" si="272"/>
        <v>1-0,0810392496472263i</v>
      </c>
      <c r="AN309" s="32">
        <f t="shared" si="293"/>
        <v>1.00327830634545</v>
      </c>
      <c r="AO309" s="32">
        <f t="shared" si="294"/>
        <v>-0.0808625407910203</v>
      </c>
      <c r="AP309" s="30" t="str">
        <f t="shared" si="295"/>
        <v>3,44573242262187-4,89858047376773i</v>
      </c>
      <c r="AQ309" s="32">
        <f t="shared" si="296"/>
        <v>15.547212376071</v>
      </c>
      <c r="AR309" s="31">
        <f t="shared" si="297"/>
        <v>-54.8768915673176</v>
      </c>
      <c r="AS309" t="str">
        <f t="shared" si="273"/>
        <v>-0,000100699300699301</v>
      </c>
      <c r="AT309" t="str">
        <f t="shared" si="274"/>
        <v>0,0114757992076072i</v>
      </c>
      <c r="AU309">
        <f t="shared" si="298"/>
        <v>0.0114757992076072</v>
      </c>
      <c r="AV309">
        <f t="shared" si="299"/>
        <v>1.5707963267949</v>
      </c>
      <c r="AW309" t="str">
        <f t="shared" si="275"/>
        <v>1+0,587539870728385i</v>
      </c>
      <c r="AX309">
        <f t="shared" si="300"/>
        <v>1.15982890966536</v>
      </c>
      <c r="AY309">
        <f t="shared" si="301"/>
        <v>0.531207258930514</v>
      </c>
      <c r="AZ309" t="str">
        <f t="shared" si="276"/>
        <v>1+28,0894061601421i</v>
      </c>
      <c r="BA309">
        <f t="shared" si="302"/>
        <v>28.107200828781</v>
      </c>
      <c r="BB309">
        <f t="shared" si="303"/>
        <v>1.53521074526081</v>
      </c>
      <c r="BC309" s="30" t="str">
        <f t="shared" si="304"/>
        <v>-0,179398092401643+0,114178459052207i</v>
      </c>
      <c r="BD309" s="32">
        <f t="shared" si="305"/>
        <v>-13.4466563814772</v>
      </c>
      <c r="BE309" s="31">
        <f t="shared" si="306"/>
        <v>147.525162383147</v>
      </c>
      <c r="BF309" s="30" t="str">
        <f t="shared" si="307"/>
        <v>0,104651549292559+0,241847615776273i</v>
      </c>
      <c r="BG309" s="68">
        <f t="shared" si="308"/>
        <v>-11.5837642849246</v>
      </c>
      <c r="BH309" s="31">
        <f t="shared" si="309"/>
        <v>66.6010495164674</v>
      </c>
      <c r="BI309" s="30" t="str">
        <f t="shared" si="316"/>
        <v>-0,058845453506826+1,27222441079106i</v>
      </c>
      <c r="BJ309" s="68">
        <f t="shared" si="310"/>
        <v>2.10055599459381</v>
      </c>
      <c r="BK309" s="31">
        <f t="shared" si="317"/>
        <v>92.648270815829</v>
      </c>
      <c r="BL309" s="32">
        <f t="shared" si="311"/>
        <v>-11.5837642849246</v>
      </c>
      <c r="BM309" s="31">
        <f t="shared" si="312"/>
        <v>66.6010495164674</v>
      </c>
      <c r="BO309">
        <f t="shared" si="313"/>
        <v>0</v>
      </c>
      <c r="BP309">
        <f t="shared" si="314"/>
        <v>0</v>
      </c>
    </row>
    <row r="310" spans="14:68">
      <c r="N310" s="7">
        <v>92</v>
      </c>
      <c r="O310" s="18">
        <f t="shared" si="315"/>
        <v>8317.63771102671</v>
      </c>
      <c r="P310" s="86" t="str">
        <f t="shared" si="265"/>
        <v>75</v>
      </c>
      <c r="Q310" s="4" t="str">
        <f t="shared" si="266"/>
        <v>1+85,3600564587309i</v>
      </c>
      <c r="R310" s="4">
        <f t="shared" si="277"/>
        <v>85.3659137984109</v>
      </c>
      <c r="S310" s="4">
        <f t="shared" si="278"/>
        <v>1.55908178140281</v>
      </c>
      <c r="T310" s="4" t="str">
        <f t="shared" si="267"/>
        <v>1+0,819456542003818i</v>
      </c>
      <c r="U310" s="4">
        <f t="shared" si="279"/>
        <v>1.29286852550167</v>
      </c>
      <c r="V310" s="4">
        <f t="shared" si="280"/>
        <v>0.686492606211644</v>
      </c>
      <c r="W310" t="str">
        <f t="shared" si="268"/>
        <v>1-0,42984885573861i</v>
      </c>
      <c r="X310" s="4">
        <f t="shared" si="281"/>
        <v>1.08847142304233</v>
      </c>
      <c r="Y310" s="4">
        <f t="shared" si="282"/>
        <v>-0.405970492656951</v>
      </c>
      <c r="Z310" t="str">
        <f t="shared" si="269"/>
        <v>0,99943524002374+0,134887376180788i</v>
      </c>
      <c r="AA310" s="4">
        <f t="shared" si="283"/>
        <v>1.00849660547483</v>
      </c>
      <c r="AB310" s="4">
        <f t="shared" si="284"/>
        <v>0.134152977547199</v>
      </c>
      <c r="AC310" s="67" t="str">
        <f t="shared" si="285"/>
        <v>0,192996923482118-1,21066604464445i</v>
      </c>
      <c r="AD310" s="68">
        <f t="shared" si="286"/>
        <v>1.76947446672814</v>
      </c>
      <c r="AE310" s="31">
        <f t="shared" si="287"/>
        <v>-80.9424722459131</v>
      </c>
      <c r="AF310" s="32" t="str">
        <f t="shared" si="288"/>
        <v>249,914648392112</v>
      </c>
      <c r="AG310" s="32" t="str">
        <f t="shared" si="270"/>
        <v>1+54,8743220091842i</v>
      </c>
      <c r="AH310" s="32">
        <f t="shared" si="289"/>
        <v>54.8834329827102</v>
      </c>
      <c r="AI310" s="32">
        <f t="shared" si="290"/>
        <v>1.55257488391816</v>
      </c>
      <c r="AJ310" s="32" t="str">
        <f t="shared" si="271"/>
        <v>1+0,819456542003818i</v>
      </c>
      <c r="AK310" s="32">
        <f t="shared" si="291"/>
        <v>1.29286852550167</v>
      </c>
      <c r="AL310" s="32">
        <f t="shared" si="292"/>
        <v>0.686492606211644</v>
      </c>
      <c r="AM310" s="32" t="str">
        <f t="shared" si="272"/>
        <v>1-0,0829268962636971i</v>
      </c>
      <c r="AN310" s="32">
        <f t="shared" si="293"/>
        <v>1.00343254388321</v>
      </c>
      <c r="AO310" s="32">
        <f t="shared" si="294"/>
        <v>-0.0827375842778397</v>
      </c>
      <c r="AP310" s="30" t="str">
        <f t="shared" si="295"/>
        <v>3,44187618597668-4,80107469951832i</v>
      </c>
      <c r="AQ310" s="32">
        <f t="shared" si="296"/>
        <v>15.4278597716621</v>
      </c>
      <c r="AR310" s="31">
        <f t="shared" si="297"/>
        <v>-54.3633736098889</v>
      </c>
      <c r="AS310" t="str">
        <f t="shared" si="273"/>
        <v>-0,000100699300699301</v>
      </c>
      <c r="AT310" t="str">
        <f t="shared" si="274"/>
        <v>0,0117431049099654i</v>
      </c>
      <c r="AU310">
        <f t="shared" si="298"/>
        <v>0.0117431049099654</v>
      </c>
      <c r="AV310">
        <f t="shared" si="299"/>
        <v>1.5707963267949</v>
      </c>
      <c r="AW310" t="str">
        <f t="shared" si="275"/>
        <v>1+0,601225432401895i</v>
      </c>
      <c r="AX310">
        <f t="shared" si="300"/>
        <v>1.1668213318957</v>
      </c>
      <c r="AY310">
        <f t="shared" si="301"/>
        <v>0.541320066388872</v>
      </c>
      <c r="AZ310" t="str">
        <f t="shared" si="276"/>
        <v>1+28,7436924810012i</v>
      </c>
      <c r="BA310">
        <f t="shared" si="302"/>
        <v>28.7610823412883</v>
      </c>
      <c r="BB310">
        <f t="shared" si="303"/>
        <v>1.53602011146452</v>
      </c>
      <c r="BC310" s="30" t="str">
        <f t="shared" si="304"/>
        <v>-0,177254373452112+0,115145022632304i</v>
      </c>
      <c r="BD310" s="32">
        <f t="shared" si="305"/>
        <v>-13.4991124202818</v>
      </c>
      <c r="BE310" s="31">
        <f t="shared" si="306"/>
        <v>146.992114464307</v>
      </c>
      <c r="BF310" s="30" t="str">
        <f t="shared" si="307"/>
        <v>0,105192620360739+0,236818486325512i</v>
      </c>
      <c r="BG310" s="68">
        <f t="shared" si="308"/>
        <v>-11.7296379535537</v>
      </c>
      <c r="BH310" s="31">
        <f t="shared" si="309"/>
        <v>66.0496422183941</v>
      </c>
      <c r="BI310" s="30" t="str">
        <f t="shared" si="316"/>
        <v>-0,0572677519096222+1,24732639909178i</v>
      </c>
      <c r="BJ310" s="68">
        <f t="shared" si="310"/>
        <v>1.92874735138027</v>
      </c>
      <c r="BK310" s="31">
        <f t="shared" si="317"/>
        <v>92.6287408544183</v>
      </c>
      <c r="BL310" s="32">
        <f t="shared" si="311"/>
        <v>-11.7296379535537</v>
      </c>
      <c r="BM310" s="31">
        <f t="shared" si="312"/>
        <v>66.0496422183941</v>
      </c>
      <c r="BO310">
        <f t="shared" si="313"/>
        <v>0</v>
      </c>
      <c r="BP310">
        <f t="shared" si="314"/>
        <v>0</v>
      </c>
    </row>
    <row r="311" spans="14:68">
      <c r="N311" s="7">
        <v>93</v>
      </c>
      <c r="O311" s="18">
        <f t="shared" si="315"/>
        <v>8511.38038202378</v>
      </c>
      <c r="P311" s="86" t="str">
        <f t="shared" si="265"/>
        <v>75</v>
      </c>
      <c r="Q311" s="4" t="str">
        <f t="shared" si="266"/>
        <v>1+87,348347594909i</v>
      </c>
      <c r="R311" s="4">
        <f t="shared" si="277"/>
        <v>87.3540716140985</v>
      </c>
      <c r="S311" s="4">
        <f t="shared" si="278"/>
        <v>1.55934841344284</v>
      </c>
      <c r="T311" s="4" t="str">
        <f t="shared" si="267"/>
        <v>1+0,838544136911127i</v>
      </c>
      <c r="U311" s="4">
        <f t="shared" si="279"/>
        <v>1.30505029387684</v>
      </c>
      <c r="V311" s="4">
        <f t="shared" si="280"/>
        <v>0.697805634204507</v>
      </c>
      <c r="W311" t="str">
        <f t="shared" si="268"/>
        <v>1-0,439861321817221i</v>
      </c>
      <c r="X311" s="4">
        <f t="shared" si="281"/>
        <v>1.09246417901494</v>
      </c>
      <c r="Y311" s="4">
        <f t="shared" si="282"/>
        <v>-0.414390683840878</v>
      </c>
      <c r="Z311" t="str">
        <f t="shared" si="269"/>
        <v>0,999408623706061+0,138029306792938i</v>
      </c>
      <c r="AA311" s="4">
        <f t="shared" si="283"/>
        <v>1.00889528032982</v>
      </c>
      <c r="AB311" s="4">
        <f t="shared" si="284"/>
        <v>0.137242758291514</v>
      </c>
      <c r="AC311" s="67" t="str">
        <f t="shared" si="285"/>
        <v>0,190448835444303-1,19825475320784i</v>
      </c>
      <c r="AD311" s="68">
        <f t="shared" si="286"/>
        <v>1.67932950117365</v>
      </c>
      <c r="AE311" s="31">
        <f t="shared" si="287"/>
        <v>-80.9690331927881</v>
      </c>
      <c r="AF311" s="32" t="str">
        <f t="shared" si="288"/>
        <v>249,914648392112</v>
      </c>
      <c r="AG311" s="32" t="str">
        <f t="shared" si="270"/>
        <v>1+56,1525091681558i</v>
      </c>
      <c r="AH311" s="32">
        <f t="shared" si="289"/>
        <v>56.1614127838663</v>
      </c>
      <c r="AI311" s="32">
        <f t="shared" si="290"/>
        <v>1.55298956590388</v>
      </c>
      <c r="AJ311" s="32" t="str">
        <f t="shared" si="271"/>
        <v>1+0,838544136911127i</v>
      </c>
      <c r="AK311" s="32">
        <f t="shared" si="291"/>
        <v>1.30505029387684</v>
      </c>
      <c r="AL311" s="32">
        <f t="shared" si="292"/>
        <v>0.697805634204507</v>
      </c>
      <c r="AM311" s="32" t="str">
        <f t="shared" si="272"/>
        <v>1-0,0848585118182344i</v>
      </c>
      <c r="AN311" s="32">
        <f t="shared" si="293"/>
        <v>1.00359402500613</v>
      </c>
      <c r="AO311" s="32">
        <f t="shared" si="294"/>
        <v>-0.0846556995843798</v>
      </c>
      <c r="AP311" s="30" t="str">
        <f t="shared" si="295"/>
        <v>3,43819339592431-4,70610819325377i</v>
      </c>
      <c r="AQ311" s="32">
        <f t="shared" si="296"/>
        <v>15.3107800795305</v>
      </c>
      <c r="AR311" s="31">
        <f t="shared" si="297"/>
        <v>-53.8488442916906</v>
      </c>
      <c r="AS311" t="str">
        <f t="shared" si="273"/>
        <v>-0,000100699300699301</v>
      </c>
      <c r="AT311" t="str">
        <f t="shared" si="274"/>
        <v>0,0120166369619853i</v>
      </c>
      <c r="AU311">
        <f t="shared" si="298"/>
        <v>0.0120166369619853</v>
      </c>
      <c r="AV311">
        <f t="shared" si="299"/>
        <v>1.5707963267949</v>
      </c>
      <c r="AW311" t="str">
        <f t="shared" si="275"/>
        <v>1+0,615229771757827i</v>
      </c>
      <c r="AX311">
        <f t="shared" si="300"/>
        <v>1.17409866368086</v>
      </c>
      <c r="AY311">
        <f t="shared" si="301"/>
        <v>0.551542663294312</v>
      </c>
      <c r="AZ311" t="str">
        <f t="shared" si="276"/>
        <v>1+29,4132190880816i</v>
      </c>
      <c r="BA311">
        <f t="shared" si="302"/>
        <v>29.430213338056</v>
      </c>
      <c r="BB311">
        <f t="shared" si="303"/>
        <v>1.53681109829022</v>
      </c>
      <c r="BC311" s="30" t="str">
        <f t="shared" si="304"/>
        <v>-0,175063857002709+0,116084487046814i</v>
      </c>
      <c r="BD311" s="32">
        <f t="shared" si="305"/>
        <v>-13.5533533922259</v>
      </c>
      <c r="BE311" s="31">
        <f t="shared" si="306"/>
        <v>146.451723012725</v>
      </c>
      <c r="BF311" s="30" t="str">
        <f t="shared" si="307"/>
        <v>0,105758080682985+0,231879254139609i</v>
      </c>
      <c r="BG311" s="68">
        <f t="shared" si="308"/>
        <v>-11.8740238910523</v>
      </c>
      <c r="BH311" s="31">
        <f t="shared" si="309"/>
        <v>65.4826898199373</v>
      </c>
      <c r="BI311" s="30" t="str">
        <f t="shared" si="316"/>
        <v>-0,0555972414110794+1,22299036851667i</v>
      </c>
      <c r="BJ311" s="68">
        <f t="shared" si="310"/>
        <v>1.75742668730453</v>
      </c>
      <c r="BK311" s="31">
        <f t="shared" si="317"/>
        <v>92.6028787210348</v>
      </c>
      <c r="BL311" s="32">
        <f t="shared" si="311"/>
        <v>-11.8740238910523</v>
      </c>
      <c r="BM311" s="31">
        <f t="shared" si="312"/>
        <v>65.4826898199373</v>
      </c>
      <c r="BO311">
        <f t="shared" si="313"/>
        <v>0</v>
      </c>
      <c r="BP311">
        <f t="shared" si="314"/>
        <v>0</v>
      </c>
    </row>
    <row r="312" spans="14:68">
      <c r="N312" s="7">
        <v>94</v>
      </c>
      <c r="O312" s="18">
        <f t="shared" si="315"/>
        <v>8709.63589956082</v>
      </c>
      <c r="P312" s="86" t="str">
        <f t="shared" si="265"/>
        <v>75</v>
      </c>
      <c r="Q312" s="4" t="str">
        <f t="shared" si="266"/>
        <v>1+89,3829519811738i</v>
      </c>
      <c r="R312" s="4">
        <f t="shared" si="277"/>
        <v>89.3885457140277</v>
      </c>
      <c r="S312" s="4">
        <f t="shared" si="278"/>
        <v>1.55960897776959</v>
      </c>
      <c r="T312" s="4" t="str">
        <f t="shared" si="267"/>
        <v>1+0,858076339019269i</v>
      </c>
      <c r="U312" s="4">
        <f t="shared" si="279"/>
        <v>1.31768547217639</v>
      </c>
      <c r="V312" s="4">
        <f t="shared" si="280"/>
        <v>0.709164148826621</v>
      </c>
      <c r="W312" t="str">
        <f t="shared" si="268"/>
        <v>1-0,450107008190911i</v>
      </c>
      <c r="X312" s="4">
        <f t="shared" si="281"/>
        <v>1.09662952669649</v>
      </c>
      <c r="Y312" s="4">
        <f t="shared" si="282"/>
        <v>-0.422942910669901</v>
      </c>
      <c r="Z312" t="str">
        <f t="shared" si="269"/>
        <v>0,999380752999976+0,141244422370584i</v>
      </c>
      <c r="AA312" s="4">
        <f t="shared" si="283"/>
        <v>1.00931257612179</v>
      </c>
      <c r="AB312" s="4">
        <f t="shared" si="284"/>
        <v>0.140402039406403</v>
      </c>
      <c r="AC312" s="67" t="str">
        <f t="shared" si="285"/>
        <v>0,187826728000164-1,18645249225289i</v>
      </c>
      <c r="AD312" s="68">
        <f t="shared" si="286"/>
        <v>1.59250799784289</v>
      </c>
      <c r="AE312" s="31">
        <f t="shared" si="287"/>
        <v>-81.0041874565375</v>
      </c>
      <c r="AF312" s="32" t="str">
        <f t="shared" si="288"/>
        <v>249,914648392112</v>
      </c>
      <c r="AG312" s="32" t="str">
        <f t="shared" si="270"/>
        <v>1+57,4604691307546i</v>
      </c>
      <c r="AH312" s="32">
        <f t="shared" si="289"/>
        <v>57.4691701064702</v>
      </c>
      <c r="AI312" s="32">
        <f t="shared" si="290"/>
        <v>1.55339481449357</v>
      </c>
      <c r="AJ312" s="32" t="str">
        <f t="shared" si="271"/>
        <v>1+0,858076339019269i</v>
      </c>
      <c r="AK312" s="32">
        <f t="shared" si="291"/>
        <v>1.31768547217639</v>
      </c>
      <c r="AL312" s="32">
        <f t="shared" si="292"/>
        <v>0.709164148826621</v>
      </c>
      <c r="AM312" s="32" t="str">
        <f t="shared" si="272"/>
        <v>1-0,0868351204789728i</v>
      </c>
      <c r="AN312" s="32">
        <f t="shared" si="293"/>
        <v>1.00376308865618</v>
      </c>
      <c r="AO312" s="32">
        <f t="shared" si="294"/>
        <v>-0.0866178472328482</v>
      </c>
      <c r="AP312" s="30" t="str">
        <f t="shared" si="295"/>
        <v>3,43467625598921-4,61363102440195i</v>
      </c>
      <c r="AQ312" s="32">
        <f t="shared" si="296"/>
        <v>15.1959953170274</v>
      </c>
      <c r="AR312" s="31">
        <f t="shared" si="297"/>
        <v>-53.3336911551874</v>
      </c>
      <c r="AS312" t="str">
        <f t="shared" si="273"/>
        <v>-0,000100699300699301</v>
      </c>
      <c r="AT312" t="str">
        <f t="shared" si="274"/>
        <v>0,0122965403939815i</v>
      </c>
      <c r="AU312">
        <f t="shared" si="298"/>
        <v>0.0122965403939815</v>
      </c>
      <c r="AV312">
        <f t="shared" si="299"/>
        <v>1.5707963267949</v>
      </c>
      <c r="AW312" t="str">
        <f t="shared" si="275"/>
        <v>1+0,629560314082272i</v>
      </c>
      <c r="AX312">
        <f t="shared" si="300"/>
        <v>1.1816709309564</v>
      </c>
      <c r="AY312">
        <f t="shared" si="301"/>
        <v>0.561871923147491</v>
      </c>
      <c r="AZ312" t="str">
        <f t="shared" si="276"/>
        <v>1+30,0983409732524i</v>
      </c>
      <c r="BA312">
        <f t="shared" si="302"/>
        <v>30.1149486026818</v>
      </c>
      <c r="BB312">
        <f t="shared" si="303"/>
        <v>1.53758412116825</v>
      </c>
      <c r="BC312" s="30" t="str">
        <f t="shared" si="304"/>
        <v>-0,172827391851401+0,116994505489299i</v>
      </c>
      <c r="BD312" s="32">
        <f t="shared" si="305"/>
        <v>-13.6094182378131</v>
      </c>
      <c r="BE312" s="31">
        <f t="shared" si="306"/>
        <v>145.904190966022</v>
      </c>
      <c r="BF312" s="30" t="str">
        <f t="shared" si="307"/>
        <v>0,106346819097422+0,227026184951714i</v>
      </c>
      <c r="BG312" s="68">
        <f t="shared" si="308"/>
        <v>-12.0169102399702</v>
      </c>
      <c r="BH312" s="31">
        <f t="shared" si="309"/>
        <v>64.9000035094848</v>
      </c>
      <c r="BI312" s="30" t="str">
        <f t="shared" si="316"/>
        <v>-0,053836658966556+1,19920006699739i</v>
      </c>
      <c r="BJ312" s="68">
        <f t="shared" si="310"/>
        <v>1.58657707921428</v>
      </c>
      <c r="BK312" s="31">
        <f t="shared" si="317"/>
        <v>92.5704998108348</v>
      </c>
      <c r="BL312" s="32">
        <f t="shared" si="311"/>
        <v>-12.0169102399702</v>
      </c>
      <c r="BM312" s="31">
        <f t="shared" si="312"/>
        <v>64.9000035094848</v>
      </c>
      <c r="BO312">
        <f t="shared" si="313"/>
        <v>0</v>
      </c>
      <c r="BP312">
        <f t="shared" si="314"/>
        <v>0</v>
      </c>
    </row>
    <row r="313" spans="14:68">
      <c r="N313" s="7">
        <v>95</v>
      </c>
      <c r="O313" s="18">
        <f t="shared" si="315"/>
        <v>8912.50938133747</v>
      </c>
      <c r="P313" s="86" t="str">
        <f t="shared" si="265"/>
        <v>75</v>
      </c>
      <c r="Q313" s="4" t="str">
        <f t="shared" si="266"/>
        <v>1+91,4649483917023i</v>
      </c>
      <c r="R313" s="4">
        <f t="shared" si="277"/>
        <v>91.4704148033492</v>
      </c>
      <c r="S313" s="4">
        <f t="shared" si="278"/>
        <v>1.55986361239609</v>
      </c>
      <c r="T313" s="4" t="str">
        <f t="shared" si="267"/>
        <v>1+0,878063504560343i</v>
      </c>
      <c r="U313" s="4">
        <f t="shared" si="279"/>
        <v>1.33078755556279</v>
      </c>
      <c r="V313" s="4">
        <f t="shared" si="280"/>
        <v>0.720562449913858</v>
      </c>
      <c r="W313" t="str">
        <f t="shared" si="268"/>
        <v>1-0,460591347258215i</v>
      </c>
      <c r="X313" s="4">
        <f t="shared" si="281"/>
        <v>1.10097429087565</v>
      </c>
      <c r="Y313" s="4">
        <f t="shared" si="282"/>
        <v>-0.431626702485081</v>
      </c>
      <c r="Z313" t="str">
        <f t="shared" si="269"/>
        <v>0,99935156878798+0,144534427610561i</v>
      </c>
      <c r="AA313" s="4">
        <f t="shared" si="283"/>
        <v>1.0097493544458</v>
      </c>
      <c r="AB313" s="4">
        <f t="shared" si="284"/>
        <v>0.143632267491753</v>
      </c>
      <c r="AC313" s="67" t="str">
        <f t="shared" si="285"/>
        <v>0,185125529976869-1,17525125743998i</v>
      </c>
      <c r="AD313" s="68">
        <f t="shared" si="286"/>
        <v>1.50905878960023</v>
      </c>
      <c r="AE313" s="31">
        <f t="shared" si="287"/>
        <v>-81.0483254573713</v>
      </c>
      <c r="AF313" s="32" t="str">
        <f t="shared" si="288"/>
        <v>249,914648392112</v>
      </c>
      <c r="AG313" s="32" t="str">
        <f t="shared" si="270"/>
        <v>1+58,7988953946658i</v>
      </c>
      <c r="AH313" s="32">
        <f t="shared" si="289"/>
        <v>58.8073983409643</v>
      </c>
      <c r="AI313" s="32">
        <f t="shared" si="290"/>
        <v>1.55379084402267</v>
      </c>
      <c r="AJ313" s="32" t="str">
        <f t="shared" si="271"/>
        <v>1+0,878063504560343i</v>
      </c>
      <c r="AK313" s="32">
        <f t="shared" si="291"/>
        <v>1.33078755556279</v>
      </c>
      <c r="AL313" s="32">
        <f t="shared" si="292"/>
        <v>0.720562449913858</v>
      </c>
      <c r="AM313" s="32" t="str">
        <f t="shared" si="272"/>
        <v>1-0,0888577702699879i</v>
      </c>
      <c r="AN313" s="32">
        <f t="shared" si="293"/>
        <v>1.00394008951598</v>
      </c>
      <c r="AO313" s="32">
        <f t="shared" si="294"/>
        <v>-0.08862500711183</v>
      </c>
      <c r="AP313" s="30" t="str">
        <f t="shared" si="295"/>
        <v>3,43131731972389-4,52359455413732i</v>
      </c>
      <c r="AQ313" s="32">
        <f t="shared" si="296"/>
        <v>15.0835254777149</v>
      </c>
      <c r="AR313" s="31">
        <f t="shared" si="297"/>
        <v>-52.8183092197228</v>
      </c>
      <c r="AS313" t="str">
        <f t="shared" si="273"/>
        <v>-0,000100699300699301</v>
      </c>
      <c r="AT313" t="str">
        <f t="shared" si="274"/>
        <v>0,0125829636144585i</v>
      </c>
      <c r="AU313">
        <f t="shared" si="298"/>
        <v>0.0125829636144585</v>
      </c>
      <c r="AV313">
        <f t="shared" si="299"/>
        <v>1.5707963267949</v>
      </c>
      <c r="AW313" t="str">
        <f t="shared" si="275"/>
        <v>1+0,644224657618459i</v>
      </c>
      <c r="AX313">
        <f t="shared" si="300"/>
        <v>1.18954840569168</v>
      </c>
      <c r="AY313">
        <f t="shared" si="301"/>
        <v>0.572304505770327</v>
      </c>
      <c r="AZ313" t="str">
        <f t="shared" si="276"/>
        <v>1+30,7994213972059i</v>
      </c>
      <c r="BA313">
        <f t="shared" si="302"/>
        <v>30.815651192254</v>
      </c>
      <c r="BB313">
        <f t="shared" si="303"/>
        <v>1.53833958626798</v>
      </c>
      <c r="BC313" s="30" t="str">
        <f t="shared" si="304"/>
        <v>-0,170545962186094+0,117872742666772i</v>
      </c>
      <c r="BD313" s="32">
        <f t="shared" si="305"/>
        <v>-13.6673451157716</v>
      </c>
      <c r="BE313" s="31">
        <f t="shared" si="306"/>
        <v>145.349732974096</v>
      </c>
      <c r="BF313" s="30" t="str">
        <f t="shared" si="307"/>
        <v>0,106957677401907+0,222255610466532i</v>
      </c>
      <c r="BG313" s="68">
        <f t="shared" si="308"/>
        <v>-12.1582863261714</v>
      </c>
      <c r="BH313" s="31">
        <f t="shared" si="309"/>
        <v>64.3014075167251</v>
      </c>
      <c r="BI313" s="30" t="str">
        <f t="shared" si="316"/>
        <v>-0,0519888170494803+1,17593956921098i</v>
      </c>
      <c r="BJ313" s="68">
        <f t="shared" si="310"/>
        <v>1.41618036194336</v>
      </c>
      <c r="BK313" s="31">
        <f t="shared" si="317"/>
        <v>92.5314237543735</v>
      </c>
      <c r="BL313" s="32">
        <f t="shared" si="311"/>
        <v>-12.1582863261714</v>
      </c>
      <c r="BM313" s="31">
        <f t="shared" si="312"/>
        <v>64.3014075167251</v>
      </c>
      <c r="BO313">
        <f t="shared" si="313"/>
        <v>0</v>
      </c>
      <c r="BP313">
        <f t="shared" si="314"/>
        <v>0</v>
      </c>
    </row>
    <row r="314" spans="14:68">
      <c r="N314" s="7">
        <v>96</v>
      </c>
      <c r="O314" s="18">
        <f t="shared" si="315"/>
        <v>9120.10839355911</v>
      </c>
      <c r="P314" s="86" t="str">
        <f t="shared" si="265"/>
        <v>75</v>
      </c>
      <c r="Q314" s="4" t="str">
        <f t="shared" si="266"/>
        <v>1+93,5954407285498i</v>
      </c>
      <c r="R314" s="4">
        <f t="shared" si="277"/>
        <v>93.6007827166604</v>
      </c>
      <c r="S314" s="4">
        <f t="shared" si="278"/>
        <v>1.56011245220085</v>
      </c>
      <c r="T314" s="4" t="str">
        <f t="shared" si="267"/>
        <v>1+0,898516230994079i</v>
      </c>
      <c r="U314" s="4">
        <f t="shared" si="279"/>
        <v>1.34437026795441</v>
      </c>
      <c r="V314" s="4">
        <f t="shared" si="280"/>
        <v>0.731994734833681</v>
      </c>
      <c r="W314" t="str">
        <f t="shared" si="268"/>
        <v>1-0,471319897954483i</v>
      </c>
      <c r="X314" s="4">
        <f t="shared" si="281"/>
        <v>1.10550551613632</v>
      </c>
      <c r="Y314" s="4">
        <f t="shared" si="282"/>
        <v>-0.440441423878676</v>
      </c>
      <c r="Z314" t="str">
        <f t="shared" si="269"/>
        <v>0,999321009166447+0,147901066917197i</v>
      </c>
      <c r="AA314" s="4">
        <f t="shared" si="283"/>
        <v>1.01020651599398</v>
      </c>
      <c r="AB314" s="4">
        <f t="shared" si="284"/>
        <v>0.146934911043318</v>
      </c>
      <c r="AC314" s="67" t="str">
        <f t="shared" si="285"/>
        <v>0,182340047830949-1,16464324189787i</v>
      </c>
      <c r="AD314" s="68">
        <f t="shared" si="286"/>
        <v>1.42902860936694</v>
      </c>
      <c r="AE314" s="31">
        <f t="shared" si="287"/>
        <v>-81.1018351220392</v>
      </c>
      <c r="AF314" s="32" t="str">
        <f t="shared" si="288"/>
        <v>249,914648392112</v>
      </c>
      <c r="AG314" s="32" t="str">
        <f t="shared" si="270"/>
        <v>1+60,1684976112106i</v>
      </c>
      <c r="AH314" s="32">
        <f t="shared" si="289"/>
        <v>60.1768070338586</v>
      </c>
      <c r="AI314" s="32">
        <f t="shared" si="290"/>
        <v>1.55417786397408</v>
      </c>
      <c r="AJ314" s="32" t="str">
        <f t="shared" si="271"/>
        <v>1+0,898516230994079i</v>
      </c>
      <c r="AK314" s="32">
        <f t="shared" si="291"/>
        <v>1.34437026795441</v>
      </c>
      <c r="AL314" s="32">
        <f t="shared" si="292"/>
        <v>0.731994734833681</v>
      </c>
      <c r="AM314" s="32" t="str">
        <f t="shared" si="272"/>
        <v>1-0,0909275336269717i</v>
      </c>
      <c r="AN314" s="32">
        <f t="shared" si="293"/>
        <v>1.00412539872841</v>
      </c>
      <c r="AO314" s="32">
        <f t="shared" si="294"/>
        <v>-0.0906781787183888</v>
      </c>
      <c r="AP314" s="30" t="str">
        <f t="shared" si="295"/>
        <v>3,42810947503166-4,43595141146667i</v>
      </c>
      <c r="AQ314" s="32">
        <f t="shared" si="296"/>
        <v>14.9733884690847</v>
      </c>
      <c r="AR314" s="31">
        <f t="shared" si="297"/>
        <v>-52.3031002211012</v>
      </c>
      <c r="AS314" t="str">
        <f t="shared" si="273"/>
        <v>-0,000100699300699301</v>
      </c>
      <c r="AT314" t="str">
        <f t="shared" si="274"/>
        <v>0,0128760584887991i</v>
      </c>
      <c r="AU314">
        <f t="shared" si="298"/>
        <v>0.0128760584887991</v>
      </c>
      <c r="AV314">
        <f t="shared" si="299"/>
        <v>1.5707963267949</v>
      </c>
      <c r="AW314" t="str">
        <f t="shared" si="275"/>
        <v>1+0,659230577595437i</v>
      </c>
      <c r="AX314">
        <f t="shared" si="300"/>
        <v>1.19774160587199</v>
      </c>
      <c r="AY314">
        <f t="shared" si="301"/>
        <v>0.58283685862589</v>
      </c>
      <c r="AZ314" t="str">
        <f t="shared" si="276"/>
        <v>1+31,5168320820627i</v>
      </c>
      <c r="BA314">
        <f t="shared" si="302"/>
        <v>31.5326926298554</v>
      </c>
      <c r="BB314">
        <f t="shared" si="303"/>
        <v>1.53907789069574</v>
      </c>
      <c r="BC314" s="30" t="str">
        <f t="shared" si="304"/>
        <v>-0,168220689358125+0,118716884159835i</v>
      </c>
      <c r="BD314" s="32">
        <f t="shared" si="305"/>
        <v>-13.7271712910635</v>
      </c>
      <c r="BE314" s="31">
        <f t="shared" si="306"/>
        <v>144.788575334836</v>
      </c>
      <c r="BF314" s="30" t="str">
        <f t="shared" si="307"/>
        <v>0,107589448292208+0,217563931344387i</v>
      </c>
      <c r="BG314" s="68">
        <f t="shared" si="308"/>
        <v>-12.2981426816966</v>
      </c>
      <c r="BH314" s="31">
        <f t="shared" si="309"/>
        <v>63.6867402127973</v>
      </c>
      <c r="BI314" s="30" t="str">
        <f t="shared" si="316"/>
        <v>-0,0500566092312006+1,15319327983064i</v>
      </c>
      <c r="BJ314" s="68">
        <f t="shared" si="310"/>
        <v>1.2462171780212</v>
      </c>
      <c r="BK314" s="31">
        <f t="shared" si="317"/>
        <v>92.4854751137352</v>
      </c>
      <c r="BL314" s="32">
        <f t="shared" si="311"/>
        <v>-12.2981426816966</v>
      </c>
      <c r="BM314" s="31">
        <f t="shared" si="312"/>
        <v>63.6867402127973</v>
      </c>
      <c r="BO314">
        <f t="shared" si="313"/>
        <v>0</v>
      </c>
      <c r="BP314">
        <f t="shared" si="314"/>
        <v>0</v>
      </c>
    </row>
    <row r="315" spans="14:68">
      <c r="N315" s="7">
        <v>97</v>
      </c>
      <c r="O315" s="18">
        <f t="shared" si="315"/>
        <v>9332.54300796992</v>
      </c>
      <c r="P315" s="86" t="str">
        <f t="shared" si="265"/>
        <v>75</v>
      </c>
      <c r="Q315" s="4" t="str">
        <f t="shared" si="266"/>
        <v>1+95,7755586069537i</v>
      </c>
      <c r="R315" s="4">
        <f t="shared" si="277"/>
        <v>95.780779003274</v>
      </c>
      <c r="S315" s="4">
        <f t="shared" si="278"/>
        <v>1.56035562899868</v>
      </c>
      <c r="T315" s="4" t="str">
        <f t="shared" si="267"/>
        <v>1+0,919445362626756i</v>
      </c>
      <c r="U315" s="4">
        <f t="shared" si="279"/>
        <v>1.35844756058372</v>
      </c>
      <c r="V315" s="4">
        <f t="shared" si="280"/>
        <v>0.743455112744979</v>
      </c>
      <c r="W315" t="str">
        <f t="shared" si="268"/>
        <v>1-0,482298348699303i</v>
      </c>
      <c r="X315" s="4">
        <f t="shared" si="281"/>
        <v>1.11023047028897</v>
      </c>
      <c r="Y315" s="4">
        <f t="shared" si="282"/>
        <v>-0.449386268332142</v>
      </c>
      <c r="Z315" t="str">
        <f t="shared" si="269"/>
        <v>0,999289009314322+0,151346125327215i</v>
      </c>
      <c r="AA315" s="4">
        <f t="shared" si="283"/>
        <v>1.01068500225736</v>
      </c>
      <c r="AB315" s="4">
        <f t="shared" si="284"/>
        <v>0.150311460180269</v>
      </c>
      <c r="AC315" s="67" t="str">
        <f t="shared" si="285"/>
        <v>0,179464958763105-1,1546208246536i</v>
      </c>
      <c r="AD315" s="68">
        <f t="shared" si="286"/>
        <v>1.35246195837078</v>
      </c>
      <c r="AE315" s="31">
        <f t="shared" si="287"/>
        <v>-81.1651006907385</v>
      </c>
      <c r="AF315" s="32" t="str">
        <f t="shared" si="288"/>
        <v>249,914648392112</v>
      </c>
      <c r="AG315" s="32" t="str">
        <f t="shared" si="270"/>
        <v>1+61,5700019616131i</v>
      </c>
      <c r="AH315" s="32">
        <f t="shared" si="289"/>
        <v>61.5781222639424</v>
      </c>
      <c r="AI315" s="32">
        <f t="shared" si="290"/>
        <v>1.55455607908689</v>
      </c>
      <c r="AJ315" s="32" t="str">
        <f t="shared" si="271"/>
        <v>1+0,919445362626756i</v>
      </c>
      <c r="AK315" s="32">
        <f t="shared" si="291"/>
        <v>1.35844756058372</v>
      </c>
      <c r="AL315" s="32">
        <f t="shared" si="292"/>
        <v>0.743455112744979</v>
      </c>
      <c r="AM315" s="32" t="str">
        <f t="shared" si="272"/>
        <v>1-0,0930455079658528i</v>
      </c>
      <c r="AN315" s="32">
        <f t="shared" si="293"/>
        <v>1.00431940464806</v>
      </c>
      <c r="AO315" s="32">
        <f t="shared" si="294"/>
        <v>-0.0927783813915854</v>
      </c>
      <c r="AP315" s="30" t="str">
        <f t="shared" si="295"/>
        <v>3,42504592918823-4,35065546986225i</v>
      </c>
      <c r="AQ315" s="32">
        <f t="shared" si="296"/>
        <v>14.8656000588966</v>
      </c>
      <c r="AR315" s="31">
        <f t="shared" si="297"/>
        <v>-51.7884718141672</v>
      </c>
      <c r="AS315" t="str">
        <f t="shared" si="273"/>
        <v>-0,000100699300699301</v>
      </c>
      <c r="AT315" t="str">
        <f t="shared" si="274"/>
        <v>0,0131759804197852i</v>
      </c>
      <c r="AU315">
        <f t="shared" si="298"/>
        <v>0.0131759804197852</v>
      </c>
      <c r="AV315">
        <f t="shared" si="299"/>
        <v>1.5707963267949</v>
      </c>
      <c r="AW315" t="str">
        <f t="shared" si="275"/>
        <v>1+0,674586030350605i</v>
      </c>
      <c r="AX315">
        <f t="shared" si="300"/>
        <v>1.20626129521932</v>
      </c>
      <c r="AY315">
        <f t="shared" si="301"/>
        <v>0.593465219053373</v>
      </c>
      <c r="AZ315" t="str">
        <f t="shared" si="276"/>
        <v>1+32,250953408464i</v>
      </c>
      <c r="BA315">
        <f t="shared" si="302"/>
        <v>32.266453101556</v>
      </c>
      <c r="BB315">
        <f t="shared" si="303"/>
        <v>1.53979942268891</v>
      </c>
      <c r="BC315" s="30" t="str">
        <f t="shared" si="304"/>
        <v>-0,165852832912726+0,119524646127808i</v>
      </c>
      <c r="BD315" s="32">
        <f t="shared" si="305"/>
        <v>-13.7889330216843</v>
      </c>
      <c r="BE315" s="31">
        <f t="shared" si="306"/>
        <v>144.22095587719</v>
      </c>
      <c r="BF315" s="30" t="str">
        <f t="shared" si="307"/>
        <v>0,108240873659093+0,212947620397329i</v>
      </c>
      <c r="BG315" s="68">
        <f t="shared" si="308"/>
        <v>-12.4364710633135</v>
      </c>
      <c r="BH315" s="31">
        <f t="shared" si="309"/>
        <v>63.0558551864513</v>
      </c>
      <c r="BI315" s="30" t="str">
        <f t="shared" si="316"/>
        <v>-0,0480430147527703+1,13094593736161i</v>
      </c>
      <c r="BJ315" s="68">
        <f t="shared" si="310"/>
        <v>1.07666703721232</v>
      </c>
      <c r="BK315" s="31">
        <f t="shared" si="317"/>
        <v>92.4324840630227</v>
      </c>
      <c r="BL315" s="32">
        <f t="shared" si="311"/>
        <v>-12.4364710633135</v>
      </c>
      <c r="BM315" s="31">
        <f t="shared" si="312"/>
        <v>63.0558551864513</v>
      </c>
      <c r="BO315">
        <f t="shared" si="313"/>
        <v>0</v>
      </c>
      <c r="BP315">
        <f t="shared" si="314"/>
        <v>0</v>
      </c>
    </row>
    <row r="316" spans="14:68">
      <c r="N316" s="7">
        <v>98</v>
      </c>
      <c r="O316" s="18">
        <f t="shared" si="315"/>
        <v>9549.92586021437</v>
      </c>
      <c r="P316" s="86" t="str">
        <f t="shared" si="265"/>
        <v>75</v>
      </c>
      <c r="Q316" s="4" t="str">
        <f t="shared" si="266"/>
        <v>1+98,0064579542703i</v>
      </c>
      <c r="R316" s="4">
        <f t="shared" si="277"/>
        <v>98.0115595261199</v>
      </c>
      <c r="S316" s="4">
        <f t="shared" si="278"/>
        <v>1.56059327161003</v>
      </c>
      <c r="T316" s="4" t="str">
        <f t="shared" si="267"/>
        <v>1+0,940861996360996i</v>
      </c>
      <c r="U316" s="4">
        <f t="shared" si="279"/>
        <v>1.37303361073078</v>
      </c>
      <c r="V316" s="4">
        <f t="shared" si="280"/>
        <v>0.754937619410716</v>
      </c>
      <c r="W316" t="str">
        <f t="shared" si="268"/>
        <v>1-0,493532520412576i</v>
      </c>
      <c r="X316" s="4">
        <f t="shared" si="281"/>
        <v>1.11515664760821</v>
      </c>
      <c r="Y316" s="4">
        <f t="shared" si="282"/>
        <v>-0.458460252089318</v>
      </c>
      <c r="Z316" t="str">
        <f t="shared" si="269"/>
        <v>0,999255501355628+0,154871429456184i</v>
      </c>
      <c r="AA316" s="4">
        <f t="shared" si="283"/>
        <v>1.01118579729508</v>
      </c>
      <c r="AB316" s="4">
        <f t="shared" si="284"/>
        <v>0.153763426317579</v>
      </c>
      <c r="AC316" s="67" t="str">
        <f t="shared" si="285"/>
        <v>0,176494803919643-1,14517655871768i</v>
      </c>
      <c r="AD316" s="68">
        <f t="shared" si="286"/>
        <v>1.27940097797071</v>
      </c>
      <c r="AE316" s="31">
        <f t="shared" si="287"/>
        <v>-81.2385015025702</v>
      </c>
      <c r="AF316" s="32" t="str">
        <f t="shared" si="288"/>
        <v>249,914648392112</v>
      </c>
      <c r="AG316" s="32" t="str">
        <f t="shared" si="270"/>
        <v>1+63,0041515420309i</v>
      </c>
      <c r="AH316" s="32">
        <f t="shared" si="289"/>
        <v>63.0120870272616</v>
      </c>
      <c r="AI316" s="32">
        <f t="shared" si="290"/>
        <v>1.55492568946269</v>
      </c>
      <c r="AJ316" s="32" t="str">
        <f t="shared" si="271"/>
        <v>1+0,940861996360996i</v>
      </c>
      <c r="AK316" s="32">
        <f t="shared" si="291"/>
        <v>1.37303361073078</v>
      </c>
      <c r="AL316" s="32">
        <f t="shared" si="292"/>
        <v>0.754937619410716</v>
      </c>
      <c r="AM316" s="32" t="str">
        <f t="shared" si="272"/>
        <v>1-0,0952128162646602i</v>
      </c>
      <c r="AN316" s="32">
        <f t="shared" si="293"/>
        <v>1.00452251362578</v>
      </c>
      <c r="AO316" s="32">
        <f t="shared" si="294"/>
        <v>-0.0949266545362834</v>
      </c>
      <c r="AP316" s="30" t="str">
        <f t="shared" si="295"/>
        <v>3,42212019453127-4,26766182443825i</v>
      </c>
      <c r="AQ316" s="32">
        <f t="shared" si="296"/>
        <v>14.7601738306645</v>
      </c>
      <c r="AR316" s="31">
        <f t="shared" si="297"/>
        <v>-51.2748367430194</v>
      </c>
      <c r="AS316" t="str">
        <f t="shared" si="273"/>
        <v>-0,000100699300699301</v>
      </c>
      <c r="AT316" t="str">
        <f t="shared" si="274"/>
        <v>0,0134828884299946i</v>
      </c>
      <c r="AU316">
        <f t="shared" si="298"/>
        <v>0.0134828884299946</v>
      </c>
      <c r="AV316">
        <f t="shared" si="299"/>
        <v>1.5707963267949</v>
      </c>
      <c r="AW316" t="str">
        <f t="shared" si="275"/>
        <v>1+0,690299157548266i</v>
      </c>
      <c r="AX316">
        <f t="shared" si="300"/>
        <v>1.21511848266408</v>
      </c>
      <c r="AY316">
        <f t="shared" si="301"/>
        <v>0.604185617447938</v>
      </c>
      <c r="AZ316" t="str">
        <f t="shared" si="276"/>
        <v>1+33,0021746172543i</v>
      </c>
      <c r="BA316">
        <f t="shared" si="302"/>
        <v>33.0173216579986</v>
      </c>
      <c r="BB316">
        <f t="shared" si="303"/>
        <v>1.54050456180648</v>
      </c>
      <c r="BC316" s="30" t="str">
        <f t="shared" si="304"/>
        <v>-0,163443790826062+0,120293785294496i</v>
      </c>
      <c r="BD316" s="32">
        <f t="shared" si="305"/>
        <v>-13.8526654448917</v>
      </c>
      <c r="BE316" s="31">
        <f t="shared" si="306"/>
        <v>143.647123789889</v>
      </c>
      <c r="BF316" s="30" t="str">
        <f t="shared" si="307"/>
        <v>0,108910643264945+0,208403225970266i</v>
      </c>
      <c r="BG316" s="68">
        <f t="shared" si="308"/>
        <v>-12.573264466921</v>
      </c>
      <c r="BH316" s="31">
        <f t="shared" si="309"/>
        <v>62.408622287319</v>
      </c>
      <c r="BI316" s="30" t="str">
        <f t="shared" si="316"/>
        <v>-0,0459511020381196+1,10918261848276i</v>
      </c>
      <c r="BJ316" s="68">
        <f t="shared" si="310"/>
        <v>0.907508385772843</v>
      </c>
      <c r="BK316" s="31">
        <f t="shared" si="317"/>
        <v>92.3722870468696</v>
      </c>
      <c r="BL316" s="32">
        <f t="shared" si="311"/>
        <v>-12.573264466921</v>
      </c>
      <c r="BM316" s="31">
        <f t="shared" si="312"/>
        <v>62.408622287319</v>
      </c>
      <c r="BO316">
        <f t="shared" si="313"/>
        <v>0</v>
      </c>
      <c r="BP316">
        <f t="shared" si="314"/>
        <v>0</v>
      </c>
    </row>
    <row r="317" spans="14:68">
      <c r="N317" s="7">
        <v>99</v>
      </c>
      <c r="O317" s="18">
        <f t="shared" si="315"/>
        <v>9772.37220955812</v>
      </c>
      <c r="P317" s="86" t="str">
        <f t="shared" si="265"/>
        <v>75</v>
      </c>
      <c r="Q317" s="4" t="str">
        <f t="shared" si="266"/>
        <v>1+100,289321622863i</v>
      </c>
      <c r="R317" s="4">
        <f t="shared" si="277"/>
        <v>100.294307074599</v>
      </c>
      <c r="S317" s="4">
        <f t="shared" si="278"/>
        <v>1.56082550592873</v>
      </c>
      <c r="T317" s="4" t="str">
        <f t="shared" si="267"/>
        <v>1+0,962777487579488i</v>
      </c>
      <c r="U317" s="4">
        <f t="shared" si="279"/>
        <v>1.3881428206744</v>
      </c>
      <c r="V317" s="4">
        <f t="shared" si="280"/>
        <v>0.766436232475009</v>
      </c>
      <c r="W317" t="str">
        <f t="shared" si="268"/>
        <v>1-0,505028369600847i</v>
      </c>
      <c r="X317" s="4">
        <f t="shared" si="281"/>
        <v>1.120291771862</v>
      </c>
      <c r="Y317" s="4">
        <f t="shared" si="282"/>
        <v>-0.467662208314529</v>
      </c>
      <c r="Z317" t="str">
        <f t="shared" si="269"/>
        <v>0,999220414215493+0,158478848467016i</v>
      </c>
      <c r="AA317" s="4">
        <f t="shared" si="283"/>
        <v>1.01170992957291</v>
      </c>
      <c r="AB317" s="4">
        <f t="shared" si="284"/>
        <v>0.157292341779271</v>
      </c>
      <c r="AC317" s="67" t="str">
        <f t="shared" si="285"/>
        <v>0,173423981695892-1,1363031588001i</v>
      </c>
      <c r="AD317" s="68">
        <f t="shared" si="286"/>
        <v>1.2098853254965</v>
      </c>
      <c r="AE317" s="31">
        <f t="shared" si="287"/>
        <v>-81.322410767234</v>
      </c>
      <c r="AF317" s="32" t="str">
        <f t="shared" si="288"/>
        <v>249,914648392112</v>
      </c>
      <c r="AG317" s="32" t="str">
        <f t="shared" si="270"/>
        <v>1+64,4717067575549i</v>
      </c>
      <c r="AH317" s="32">
        <f t="shared" si="289"/>
        <v>64.4794616310663</v>
      </c>
      <c r="AI317" s="32">
        <f t="shared" si="290"/>
        <v>1.55528689066961</v>
      </c>
      <c r="AJ317" s="32" t="str">
        <f t="shared" si="271"/>
        <v>1+0,962777487579488i</v>
      </c>
      <c r="AK317" s="32">
        <f t="shared" si="291"/>
        <v>1.3881428206744</v>
      </c>
      <c r="AL317" s="32">
        <f t="shared" si="292"/>
        <v>0.766436232475009</v>
      </c>
      <c r="AM317" s="32" t="str">
        <f t="shared" si="272"/>
        <v>1-0,0974306076589418i</v>
      </c>
      <c r="AN317" s="32">
        <f t="shared" si="293"/>
        <v>1.00473515082771</v>
      </c>
      <c r="AO317" s="32">
        <f t="shared" si="294"/>
        <v>-0.0971240578360283</v>
      </c>
      <c r="AP317" s="30" t="str">
        <f t="shared" si="295"/>
        <v>3,41932607478842-4,18692676966615i</v>
      </c>
      <c r="AQ317" s="32">
        <f t="shared" si="296"/>
        <v>14.6571211487437</v>
      </c>
      <c r="AR317" s="31">
        <f t="shared" si="297"/>
        <v>-50.7626119838567</v>
      </c>
      <c r="AS317" t="str">
        <f t="shared" si="273"/>
        <v>-0,000100699300699301</v>
      </c>
      <c r="AT317" t="str">
        <f t="shared" si="274"/>
        <v>0,0137969452461168i</v>
      </c>
      <c r="AU317">
        <f t="shared" si="298"/>
        <v>0.0137969452461168</v>
      </c>
      <c r="AV317">
        <f t="shared" si="299"/>
        <v>1.5707963267949</v>
      </c>
      <c r="AW317" t="str">
        <f t="shared" si="275"/>
        <v>1+0,706378290496449i</v>
      </c>
      <c r="AX317">
        <f t="shared" si="300"/>
        <v>1.22432442158306</v>
      </c>
      <c r="AY317">
        <f t="shared" si="301"/>
        <v>0.614993881408743</v>
      </c>
      <c r="AZ317" t="str">
        <f t="shared" si="276"/>
        <v>1+33,7708940158621i</v>
      </c>
      <c r="BA317">
        <f t="shared" si="302"/>
        <v>33.7856964206836</v>
      </c>
      <c r="BB317">
        <f t="shared" si="303"/>
        <v>1.54119367911608</v>
      </c>
      <c r="BC317" s="30" t="str">
        <f t="shared" si="304"/>
        <v>-0,160995098904407+0,121022109143042i</v>
      </c>
      <c r="BD317" s="32">
        <f t="shared" si="305"/>
        <v>-13.918402463542</v>
      </c>
      <c r="BE317" s="31">
        <f t="shared" si="306"/>
        <v>143.067339394501</v>
      </c>
      <c r="BF317" s="30" t="str">
        <f t="shared" si="307"/>
        <v>0,109597393818363+0,203927375477233i</v>
      </c>
      <c r="BG317" s="68">
        <f t="shared" si="308"/>
        <v>-12.7085171380455</v>
      </c>
      <c r="BH317" s="31">
        <f t="shared" si="309"/>
        <v>61.7449286272668</v>
      </c>
      <c r="BI317" s="30" t="str">
        <f t="shared" si="316"/>
        <v>-0,0437840311045185+1,0878887428066i</v>
      </c>
      <c r="BJ317" s="68">
        <f t="shared" si="310"/>
        <v>0.738718685201655</v>
      </c>
      <c r="BK317" s="31">
        <f t="shared" si="317"/>
        <v>92.3047274106443</v>
      </c>
      <c r="BL317" s="32">
        <f t="shared" si="311"/>
        <v>-12.7085171380455</v>
      </c>
      <c r="BM317" s="31">
        <f t="shared" si="312"/>
        <v>61.7449286272668</v>
      </c>
      <c r="BO317">
        <f t="shared" si="313"/>
        <v>0</v>
      </c>
      <c r="BP317">
        <f t="shared" si="314"/>
        <v>0</v>
      </c>
    </row>
    <row r="318" spans="14:68">
      <c r="N318" s="7">
        <v>100</v>
      </c>
      <c r="O318" s="18">
        <f t="shared" si="315"/>
        <v>10000</v>
      </c>
      <c r="P318" s="86" t="str">
        <f t="shared" si="265"/>
        <v>75</v>
      </c>
      <c r="Q318" s="4" t="str">
        <f t="shared" si="266"/>
        <v>1+102,625360017267i</v>
      </c>
      <c r="R318" s="4">
        <f t="shared" si="277"/>
        <v>102.630231991717</v>
      </c>
      <c r="S318" s="4">
        <f t="shared" si="278"/>
        <v>1.56105245498824</v>
      </c>
      <c r="T318" s="4" t="str">
        <f t="shared" si="267"/>
        <v>1+0,98520345616576i</v>
      </c>
      <c r="U318" s="4">
        <f t="shared" si="279"/>
        <v>1.40378981690314</v>
      </c>
      <c r="V318" s="4">
        <f t="shared" si="280"/>
        <v>0.777944887110802</v>
      </c>
      <c r="W318" t="str">
        <f t="shared" si="268"/>
        <v>1-0,516791991515521i</v>
      </c>
      <c r="X318" s="4">
        <f t="shared" si="281"/>
        <v>1.12564379911879</v>
      </c>
      <c r="Y318" s="4">
        <f t="shared" si="282"/>
        <v>-0.476990781587296</v>
      </c>
      <c r="Z318" t="str">
        <f t="shared" si="269"/>
        <v>0,999183673469388+0,162170295061021i</v>
      </c>
      <c r="AA318" s="4">
        <f t="shared" si="283"/>
        <v>1.01225847387313</v>
      </c>
      <c r="AB318" s="4">
        <f t="shared" si="284"/>
        <v>0.160899759348365</v>
      </c>
      <c r="AC318" s="67" t="str">
        <f t="shared" si="285"/>
        <v>0,170246741159381-1,1279934886317i</v>
      </c>
      <c r="AD318" s="68">
        <f t="shared" si="286"/>
        <v>1.14395205449914</v>
      </c>
      <c r="AE318" s="31">
        <f t="shared" si="287"/>
        <v>-81.4171943310622</v>
      </c>
      <c r="AF318" s="32" t="str">
        <f t="shared" si="288"/>
        <v>249,914648392112</v>
      </c>
      <c r="AG318" s="32" t="str">
        <f t="shared" si="270"/>
        <v>1+65,9734457253857i</v>
      </c>
      <c r="AH318" s="32">
        <f t="shared" si="289"/>
        <v>65.9810240969357</v>
      </c>
      <c r="AI318" s="32">
        <f t="shared" si="290"/>
        <v>1.5556398738441</v>
      </c>
      <c r="AJ318" s="32" t="str">
        <f t="shared" si="271"/>
        <v>1+0,98520345616576i</v>
      </c>
      <c r="AK318" s="32">
        <f t="shared" si="291"/>
        <v>1.40378981690314</v>
      </c>
      <c r="AL318" s="32">
        <f t="shared" si="292"/>
        <v>0.777944887110802</v>
      </c>
      <c r="AM318" s="32" t="str">
        <f t="shared" si="272"/>
        <v>1-0,0997000580510507i</v>
      </c>
      <c r="AN318" s="32">
        <f t="shared" si="293"/>
        <v>1.00495776109018</v>
      </c>
      <c r="AO318" s="32">
        <f t="shared" si="294"/>
        <v>-0.0993716714536983</v>
      </c>
      <c r="AP318" s="30" t="str">
        <f t="shared" si="295"/>
        <v>3,41665765201572-4,10840777762465i</v>
      </c>
      <c r="AQ318" s="32">
        <f t="shared" si="296"/>
        <v>14.5564511333984</v>
      </c>
      <c r="AR318" s="31">
        <f t="shared" si="297"/>
        <v>-50.2522178657582</v>
      </c>
      <c r="AS318" t="str">
        <f t="shared" si="273"/>
        <v>-0,000100699300699301</v>
      </c>
      <c r="AT318" t="str">
        <f t="shared" si="274"/>
        <v>0,0141183173852325i</v>
      </c>
      <c r="AU318">
        <f t="shared" si="298"/>
        <v>0.0141183173852325</v>
      </c>
      <c r="AV318">
        <f t="shared" si="299"/>
        <v>1.5707963267949</v>
      </c>
      <c r="AW318" t="str">
        <f t="shared" si="275"/>
        <v>1+0,722831954564274i</v>
      </c>
      <c r="AX318">
        <f t="shared" si="300"/>
        <v>1.23389060882203</v>
      </c>
      <c r="AY318">
        <f t="shared" si="301"/>
        <v>0.625885640871304</v>
      </c>
      <c r="AZ318" t="str">
        <f t="shared" si="276"/>
        <v>1+34,5575191894877i</v>
      </c>
      <c r="BA318">
        <f t="shared" si="302"/>
        <v>34.5719847930635</v>
      </c>
      <c r="BB318">
        <f t="shared" si="303"/>
        <v>1.54186713737732</v>
      </c>
      <c r="BC318" s="30" t="str">
        <f t="shared" si="304"/>
        <v>-0,158508429307988+0,12170748624165i</v>
      </c>
      <c r="BD318" s="32">
        <f t="shared" si="305"/>
        <v>-13.9861766332459</v>
      </c>
      <c r="BE318" s="31">
        <f t="shared" si="306"/>
        <v>142.481873861872</v>
      </c>
      <c r="BF318" s="30" t="str">
        <f t="shared" si="307"/>
        <v>0,110299708462336+0,19951677905999i</v>
      </c>
      <c r="BG318" s="68">
        <f t="shared" si="308"/>
        <v>-12.8422245787468</v>
      </c>
      <c r="BH318" s="31">
        <f t="shared" si="309"/>
        <v>61.0646795308099</v>
      </c>
      <c r="BI318" s="30" t="str">
        <f t="shared" si="316"/>
        <v>-0,0415450548337901+1,06705007796314i</v>
      </c>
      <c r="BJ318" s="68">
        <f t="shared" si="310"/>
        <v>0.570274500152515</v>
      </c>
      <c r="BK318" s="31">
        <f t="shared" si="317"/>
        <v>92.2296559961139</v>
      </c>
      <c r="BL318" s="32">
        <f t="shared" si="311"/>
        <v>-12.8422245787468</v>
      </c>
      <c r="BM318" s="31">
        <f t="shared" si="312"/>
        <v>61.0646795308099</v>
      </c>
      <c r="BO318">
        <f t="shared" si="313"/>
        <v>0</v>
      </c>
      <c r="BP318">
        <f t="shared" si="314"/>
        <v>0</v>
      </c>
    </row>
    <row r="319" spans="14:68">
      <c r="N319" s="7">
        <v>1</v>
      </c>
      <c r="O319" s="18">
        <f>10^(4+(N319/100))</f>
        <v>10232.9299228075</v>
      </c>
      <c r="P319" s="86" t="str">
        <f t="shared" si="265"/>
        <v>75</v>
      </c>
      <c r="Q319" s="4" t="str">
        <f t="shared" si="266"/>
        <v>1+105,015811735958i</v>
      </c>
      <c r="R319" s="4">
        <f t="shared" si="277"/>
        <v>105.020572815816</v>
      </c>
      <c r="S319" s="4">
        <f t="shared" si="278"/>
        <v>1.56127423902638</v>
      </c>
      <c r="T319" s="4" t="str">
        <f t="shared" si="267"/>
        <v>1+1,0081517926652i</v>
      </c>
      <c r="U319" s="4">
        <f t="shared" si="279"/>
        <v>1.41998944962773</v>
      </c>
      <c r="V319" s="4">
        <f t="shared" si="280"/>
        <v>0.789457491939963</v>
      </c>
      <c r="W319" t="str">
        <f t="shared" si="268"/>
        <v>1-0,528829623384645i</v>
      </c>
      <c r="X319" s="4">
        <f t="shared" si="281"/>
        <v>1.13122092031979</v>
      </c>
      <c r="Y319" s="4">
        <f t="shared" si="282"/>
        <v>-0.486444422786956</v>
      </c>
      <c r="Z319" t="str">
        <f t="shared" si="269"/>
        <v>0,999145201185265+0,165947726492044i</v>
      </c>
      <c r="AA319" s="4">
        <f t="shared" si="283"/>
        <v>1.0128325532779</v>
      </c>
      <c r="AB319" s="4">
        <f t="shared" si="284"/>
        <v>0.164587251749164</v>
      </c>
      <c r="AC319" s="67" t="str">
        <f t="shared" si="285"/>
        <v>0,166957175613132-1,12024054786579i</v>
      </c>
      <c r="AD319" s="68">
        <f t="shared" si="286"/>
        <v>1.08163549977055</v>
      </c>
      <c r="AE319" s="31">
        <f t="shared" si="287"/>
        <v>-81.5232094458219</v>
      </c>
      <c r="AF319" s="32" t="str">
        <f t="shared" si="288"/>
        <v>249,914648392112</v>
      </c>
      <c r="AG319" s="32" t="str">
        <f t="shared" si="270"/>
        <v>1+67,5101646874015i</v>
      </c>
      <c r="AH319" s="32">
        <f t="shared" si="289"/>
        <v>67.5175705732965</v>
      </c>
      <c r="AI319" s="32">
        <f t="shared" si="290"/>
        <v>1.55598482579047</v>
      </c>
      <c r="AJ319" s="32" t="str">
        <f t="shared" si="271"/>
        <v>1+1,0081517926652i</v>
      </c>
      <c r="AK319" s="32">
        <f t="shared" si="291"/>
        <v>1.41998944962773</v>
      </c>
      <c r="AL319" s="32">
        <f t="shared" si="292"/>
        <v>0.789457491939963</v>
      </c>
      <c r="AM319" s="32" t="str">
        <f t="shared" si="272"/>
        <v>1-0,102022370733624i</v>
      </c>
      <c r="AN319" s="32">
        <f t="shared" si="293"/>
        <v>1.0051908098118</v>
      </c>
      <c r="AO319" s="32">
        <f t="shared" si="294"/>
        <v>-0.101670596218533</v>
      </c>
      <c r="AP319" s="30" t="str">
        <f t="shared" si="295"/>
        <v>3,41410927411898-4,03206347677906i</v>
      </c>
      <c r="AQ319" s="32">
        <f t="shared" si="296"/>
        <v>14.4581706461427</v>
      </c>
      <c r="AR319" s="31">
        <f t="shared" si="297"/>
        <v>-49.7440771749501</v>
      </c>
      <c r="AS319" t="str">
        <f t="shared" si="273"/>
        <v>-0,000100699300699301</v>
      </c>
      <c r="AT319" t="str">
        <f t="shared" si="274"/>
        <v>0,0144471752431039i</v>
      </c>
      <c r="AU319">
        <f t="shared" si="298"/>
        <v>0.0144471752431039</v>
      </c>
      <c r="AV319">
        <f t="shared" si="299"/>
        <v>1.5707963267949</v>
      </c>
      <c r="AW319" t="str">
        <f t="shared" si="275"/>
        <v>1+0,739668873702219i</v>
      </c>
      <c r="AX319">
        <f t="shared" si="300"/>
        <v>1.24382878352445</v>
      </c>
      <c r="AY319">
        <f t="shared" si="301"/>
        <v>0.636856334232602</v>
      </c>
      <c r="AZ319" t="str">
        <f t="shared" si="276"/>
        <v>1+35,3624672172103i</v>
      </c>
      <c r="BA319">
        <f t="shared" si="302"/>
        <v>35.3766036765582</v>
      </c>
      <c r="BB319">
        <f t="shared" si="303"/>
        <v>1.54252529122174</v>
      </c>
      <c r="BC319" s="30" t="str">
        <f t="shared" si="304"/>
        <v>-0,1559855881701+0,12234785661601i</v>
      </c>
      <c r="BD319" s="32">
        <f t="shared" si="305"/>
        <v>-14.0560190510847</v>
      </c>
      <c r="BE319" s="31">
        <f t="shared" si="306"/>
        <v>141.891008871493</v>
      </c>
      <c r="BF319" s="30" t="str">
        <f t="shared" si="307"/>
        <v>0,111016116688491+0,19516823333377i</v>
      </c>
      <c r="BG319" s="68">
        <f t="shared" si="308"/>
        <v>-12.9743835513141</v>
      </c>
      <c r="BH319" s="31">
        <f t="shared" si="309"/>
        <v>60.367799425671</v>
      </c>
      <c r="BI319" s="30" t="str">
        <f t="shared" si="316"/>
        <v>-0,0392375190768271+1,04665274490586i</v>
      </c>
      <c r="BJ319" s="68">
        <f t="shared" si="310"/>
        <v>0.402151595058007</v>
      </c>
      <c r="BK319" s="31">
        <f t="shared" si="317"/>
        <v>92.1469316965428</v>
      </c>
      <c r="BL319" s="32">
        <f t="shared" si="311"/>
        <v>-12.9743835513141</v>
      </c>
      <c r="BM319" s="31">
        <f t="shared" si="312"/>
        <v>60.367799425671</v>
      </c>
      <c r="BO319">
        <f t="shared" si="313"/>
        <v>0</v>
      </c>
      <c r="BP319">
        <f t="shared" si="314"/>
        <v>0</v>
      </c>
    </row>
    <row r="320" spans="14:68">
      <c r="N320" s="7">
        <v>2</v>
      </c>
      <c r="O320" s="18">
        <f t="shared" ref="O320:O383" si="318">10^(4+(N320/100))</f>
        <v>10471.285480509</v>
      </c>
      <c r="P320" s="86" t="str">
        <f t="shared" si="265"/>
        <v>75</v>
      </c>
      <c r="Q320" s="4" t="str">
        <f t="shared" si="266"/>
        <v>1+107,461944228081i</v>
      </c>
      <c r="R320" s="4">
        <f t="shared" si="277"/>
        <v>107.466596937277</v>
      </c>
      <c r="S320" s="4">
        <f t="shared" si="278"/>
        <v>1.56149097554866</v>
      </c>
      <c r="T320" s="4" t="str">
        <f t="shared" si="267"/>
        <v>1+1,03163466458958i</v>
      </c>
      <c r="U320" s="4">
        <f t="shared" si="279"/>
        <v>1.43675679263501</v>
      </c>
      <c r="V320" s="4">
        <f t="shared" si="280"/>
        <v>0.800967945124353</v>
      </c>
      <c r="W320" t="str">
        <f t="shared" si="268"/>
        <v>1-0,541147647719981i</v>
      </c>
      <c r="X320" s="4">
        <f t="shared" si="281"/>
        <v>1.13703156360449</v>
      </c>
      <c r="Y320" s="4">
        <f t="shared" si="282"/>
        <v>-0.496021384421678</v>
      </c>
      <c r="Z320" t="str">
        <f t="shared" si="269"/>
        <v>0,99910491575825+0,169813145604233i</v>
      </c>
      <c r="AA320" s="4">
        <f t="shared" si="283"/>
        <v>1.01343334122788</v>
      </c>
      <c r="AB320" s="4">
        <f t="shared" si="284"/>
        <v>0.168356411057334</v>
      </c>
      <c r="AC320" s="67" t="str">
        <f t="shared" si="285"/>
        <v>0,163549216322005-1,11303745853434i</v>
      </c>
      <c r="AD320" s="68">
        <f t="shared" si="286"/>
        <v>1.02296716744508</v>
      </c>
      <c r="AE320" s="31">
        <f t="shared" si="287"/>
        <v>-81.6408035489653</v>
      </c>
      <c r="AF320" s="32" t="str">
        <f t="shared" si="288"/>
        <v>249,914648392112</v>
      </c>
      <c r="AG320" s="32" t="str">
        <f t="shared" si="270"/>
        <v>1+69,0826784323379i</v>
      </c>
      <c r="AH320" s="32">
        <f t="shared" si="289"/>
        <v>69.0899157575532</v>
      </c>
      <c r="AI320" s="32">
        <f t="shared" si="290"/>
        <v>1.55632192907824</v>
      </c>
      <c r="AJ320" s="32" t="str">
        <f t="shared" si="271"/>
        <v>1+1,03163466458958i</v>
      </c>
      <c r="AK320" s="32">
        <f t="shared" si="291"/>
        <v>1.43675679263501</v>
      </c>
      <c r="AL320" s="32">
        <f t="shared" si="292"/>
        <v>0.800967945124353</v>
      </c>
      <c r="AM320" s="32" t="str">
        <f t="shared" si="272"/>
        <v>1-0,104398777027587i</v>
      </c>
      <c r="AN320" s="32">
        <f t="shared" si="293"/>
        <v>1.00543478388449</v>
      </c>
      <c r="AO320" s="32">
        <f t="shared" si="294"/>
        <v>-0.104021953798052</v>
      </c>
      <c r="AP320" s="30" t="str">
        <f t="shared" si="295"/>
        <v>3,41167554293265-3,9578536312854i</v>
      </c>
      <c r="AQ320" s="32">
        <f t="shared" si="296"/>
        <v>14.3622842855601</v>
      </c>
      <c r="AR320" s="31">
        <f t="shared" si="297"/>
        <v>-49.2386142482836</v>
      </c>
      <c r="AS320" t="str">
        <f t="shared" si="273"/>
        <v>-0,000100699300699301</v>
      </c>
      <c r="AT320" t="str">
        <f t="shared" si="274"/>
        <v>0,0147836931845203i</v>
      </c>
      <c r="AU320">
        <f t="shared" si="298"/>
        <v>0.0147836931845203</v>
      </c>
      <c r="AV320">
        <f t="shared" si="299"/>
        <v>1.5707963267949</v>
      </c>
      <c r="AW320" t="str">
        <f t="shared" si="275"/>
        <v>1+0,756897975067683i</v>
      </c>
      <c r="AX320">
        <f t="shared" si="300"/>
        <v>1.25415092579066</v>
      </c>
      <c r="AY320">
        <f t="shared" si="301"/>
        <v>0.647901215469077</v>
      </c>
      <c r="AZ320" t="str">
        <f t="shared" si="276"/>
        <v>1+36,1861648931294i</v>
      </c>
      <c r="BA320">
        <f t="shared" si="302"/>
        <v>36.1999796916069</v>
      </c>
      <c r="BB320">
        <f t="shared" si="303"/>
        <v>1.54316848732918</v>
      </c>
      <c r="BC320" s="30" t="str">
        <f t="shared" si="304"/>
        <v>-0,153428512291067+0,122941242079235i</v>
      </c>
      <c r="BD320" s="32">
        <f t="shared" si="305"/>
        <v>-14.1279592466454</v>
      </c>
      <c r="BE320" s="31">
        <f t="shared" si="306"/>
        <v>141.295036213775</v>
      </c>
      <c r="BF320" s="30" t="str">
        <f t="shared" si="307"/>
        <v>0,111745094686272+0,190878625182867i</v>
      </c>
      <c r="BG320" s="68">
        <f t="shared" si="308"/>
        <v>-13.1049920792003</v>
      </c>
      <c r="BH320" s="31">
        <f t="shared" si="309"/>
        <v>59.6542326648099</v>
      </c>
      <c r="BI320" s="30" t="str">
        <f t="shared" si="316"/>
        <v>-0,0368648615739371+1,0266832233334i</v>
      </c>
      <c r="BJ320" s="68">
        <f t="shared" si="310"/>
        <v>0.234325038914602</v>
      </c>
      <c r="BK320" s="31">
        <f t="shared" si="317"/>
        <v>92.0564219654917</v>
      </c>
      <c r="BL320" s="32">
        <f t="shared" si="311"/>
        <v>-13.1049920792003</v>
      </c>
      <c r="BM320" s="31">
        <f t="shared" si="312"/>
        <v>59.6542326648099</v>
      </c>
      <c r="BO320">
        <f t="shared" si="313"/>
        <v>0</v>
      </c>
      <c r="BP320">
        <f t="shared" si="314"/>
        <v>0</v>
      </c>
    </row>
    <row r="321" spans="14:68">
      <c r="N321" s="7">
        <v>3</v>
      </c>
      <c r="O321" s="18">
        <f t="shared" si="318"/>
        <v>10715.1930523761</v>
      </c>
      <c r="P321" s="86" t="str">
        <f t="shared" si="265"/>
        <v>75</v>
      </c>
      <c r="Q321" s="4" t="str">
        <f t="shared" si="266"/>
        <v>1+109,965054465461i</v>
      </c>
      <c r="R321" s="4">
        <f t="shared" si="277"/>
        <v>109.969601270496</v>
      </c>
      <c r="S321" s="4">
        <f t="shared" si="278"/>
        <v>1.56170277939016</v>
      </c>
      <c r="T321" s="4" t="str">
        <f t="shared" si="267"/>
        <v>1+1,05566452286843i</v>
      </c>
      <c r="U321" s="4">
        <f t="shared" si="279"/>
        <v>1.45410714352245</v>
      </c>
      <c r="V321" s="4">
        <f t="shared" si="280"/>
        <v>0.812470150524399</v>
      </c>
      <c r="W321" t="str">
        <f t="shared" si="268"/>
        <v>1-0,553752595701072i</v>
      </c>
      <c r="X321" s="4">
        <f t="shared" si="281"/>
        <v>1.14308439637923</v>
      </c>
      <c r="Y321" s="4">
        <f t="shared" si="282"/>
        <v>-0.505719716457071</v>
      </c>
      <c r="Z321" t="str">
        <f t="shared" si="269"/>
        <v>0,999062731737554+0,173768601893963i</v>
      </c>
      <c r="AA321" s="4">
        <f t="shared" si="283"/>
        <v>1.01406206365838</v>
      </c>
      <c r="AB321" s="4">
        <f t="shared" si="284"/>
        <v>0.172208848032983</v>
      </c>
      <c r="AC321" s="67" t="str">
        <f t="shared" si="285"/>
        <v>0,160016626428174-1,10637745103334i</v>
      </c>
      <c r="AD321" s="68">
        <f t="shared" si="286"/>
        <v>0.967975630454719</v>
      </c>
      <c r="AE321" s="31">
        <f t="shared" si="287"/>
        <v>-81.7703130641421</v>
      </c>
      <c r="AF321" s="32" t="str">
        <f t="shared" si="288"/>
        <v>249,914648392112</v>
      </c>
      <c r="AG321" s="32" t="str">
        <f t="shared" si="270"/>
        <v>1+70,6918207277964i</v>
      </c>
      <c r="AH321" s="32">
        <f t="shared" si="289"/>
        <v>70.6988933280494</v>
      </c>
      <c r="AI321" s="32">
        <f t="shared" si="290"/>
        <v>1.5566513621374</v>
      </c>
      <c r="AJ321" s="32" t="str">
        <f t="shared" si="271"/>
        <v>1+1,05566452286843i</v>
      </c>
      <c r="AK321" s="32">
        <f t="shared" si="291"/>
        <v>1.45410714352245</v>
      </c>
      <c r="AL321" s="32">
        <f t="shared" si="292"/>
        <v>0.812470150524399</v>
      </c>
      <c r="AM321" s="32" t="str">
        <f t="shared" si="272"/>
        <v>1-0,106830536935011i</v>
      </c>
      <c r="AN321" s="32">
        <f t="shared" si="293"/>
        <v>1.00569019266463</v>
      </c>
      <c r="AO321" s="32">
        <f t="shared" si="294"/>
        <v>-0.106426886853256</v>
      </c>
      <c r="AP321" s="30" t="str">
        <f t="shared" si="295"/>
        <v>3,40935130283161-3,88573912081417i</v>
      </c>
      <c r="AQ321" s="32">
        <f t="shared" si="296"/>
        <v>14.2687943937182</v>
      </c>
      <c r="AR321" s="31">
        <f t="shared" si="297"/>
        <v>-48.7362540617649</v>
      </c>
      <c r="AS321" t="str">
        <f t="shared" si="273"/>
        <v>-0,000100699300699301</v>
      </c>
      <c r="AT321" t="str">
        <f t="shared" si="274"/>
        <v>0,0151280496357484i</v>
      </c>
      <c r="AU321">
        <f t="shared" si="298"/>
        <v>0.0151280496357484</v>
      </c>
      <c r="AV321">
        <f t="shared" si="299"/>
        <v>1.5707963267949</v>
      </c>
      <c r="AW321" t="str">
        <f t="shared" si="275"/>
        <v>1+0,774528393758255i</v>
      </c>
      <c r="AX321">
        <f t="shared" si="300"/>
        <v>1.26486925519507</v>
      </c>
      <c r="AY321">
        <f t="shared" si="301"/>
        <v>0.659015362238896</v>
      </c>
      <c r="AZ321" t="str">
        <f t="shared" si="276"/>
        <v>1+37,0290489526552i</v>
      </c>
      <c r="BA321">
        <f t="shared" si="302"/>
        <v>37.0425494038698</v>
      </c>
      <c r="BB321">
        <f t="shared" si="303"/>
        <v>1.54379706460079</v>
      </c>
      <c r="BC321" s="30" t="str">
        <f t="shared" si="304"/>
        <v>-0,150839264896403+0,123485756426114i</v>
      </c>
      <c r="BD321" s="32">
        <f t="shared" si="305"/>
        <v>-14.2020250761506</v>
      </c>
      <c r="BE321" s="31">
        <f t="shared" si="306"/>
        <v>140.694257335737</v>
      </c>
      <c r="BF321" s="30" t="str">
        <f t="shared" si="307"/>
        <v>0,11248506613202+0,186644935567063i</v>
      </c>
      <c r="BG321" s="68">
        <f t="shared" si="308"/>
        <v>-13.2340494456958</v>
      </c>
      <c r="BH321" s="31">
        <f t="shared" si="309"/>
        <v>58.9239442715946</v>
      </c>
      <c r="BI321" s="30" t="str">
        <f t="shared" si="316"/>
        <v>-0,034430609684433+1,00712835711532i</v>
      </c>
      <c r="BJ321" s="68">
        <f t="shared" si="310"/>
        <v>0.0667693175676329</v>
      </c>
      <c r="BK321" s="31">
        <f t="shared" si="317"/>
        <v>91.9580032739719</v>
      </c>
      <c r="BL321" s="32">
        <f t="shared" si="311"/>
        <v>-13.2340494456958</v>
      </c>
      <c r="BM321" s="31">
        <f t="shared" si="312"/>
        <v>58.9239442715946</v>
      </c>
      <c r="BO321">
        <f t="shared" si="313"/>
        <v>0</v>
      </c>
      <c r="BP321">
        <f t="shared" si="314"/>
        <v>0</v>
      </c>
    </row>
    <row r="322" spans="14:68">
      <c r="N322" s="7">
        <v>4</v>
      </c>
      <c r="O322" s="18">
        <f t="shared" si="318"/>
        <v>10964.7819614319</v>
      </c>
      <c r="P322" s="86" t="str">
        <f t="shared" si="265"/>
        <v>75</v>
      </c>
      <c r="Q322" s="4" t="str">
        <f t="shared" si="266"/>
        <v>1+112,526469630278i</v>
      </c>
      <c r="R322" s="4">
        <f t="shared" si="277"/>
        <v>112.530912941529</v>
      </c>
      <c r="S322" s="4">
        <f t="shared" si="278"/>
        <v>1.56190976277602</v>
      </c>
      <c r="T322" s="4" t="str">
        <f t="shared" si="267"/>
        <v>1+1,08025410845067i</v>
      </c>
      <c r="U322" s="4">
        <f t="shared" si="279"/>
        <v>1.4720560243498</v>
      </c>
      <c r="V322" s="4">
        <f t="shared" si="280"/>
        <v>0.823958033820874</v>
      </c>
      <c r="W322" t="str">
        <f t="shared" si="268"/>
        <v>1-0,566651150638185i</v>
      </c>
      <c r="X322" s="4">
        <f t="shared" si="281"/>
        <v>1.14938832711994</v>
      </c>
      <c r="Y322" s="4">
        <f t="shared" si="282"/>
        <v>-0.515537262699878</v>
      </c>
      <c r="Z322" t="str">
        <f t="shared" si="269"/>
        <v>0,99901855964521+0,177816192596517i</v>
      </c>
      <c r="AA322" s="4">
        <f t="shared" si="283"/>
        <v>1.01472000121468</v>
      </c>
      <c r="AB322" s="4">
        <f t="shared" si="284"/>
        <v>0.176146191371835</v>
      </c>
      <c r="AC322" s="67" t="str">
        <f t="shared" si="285"/>
        <v>0,156352995084549-1,10025384961202i</v>
      </c>
      <c r="AD322" s="68">
        <f t="shared" si="286"/>
        <v>0.916686429567169</v>
      </c>
      <c r="AE322" s="31">
        <f t="shared" si="287"/>
        <v>-81.9120622308517</v>
      </c>
      <c r="AF322" s="32" t="str">
        <f t="shared" si="288"/>
        <v>249,914648392112</v>
      </c>
      <c r="AG322" s="32" t="str">
        <f t="shared" si="270"/>
        <v>1+72,3384447623215i</v>
      </c>
      <c r="AH322" s="32">
        <f t="shared" si="289"/>
        <v>72.3453563860974</v>
      </c>
      <c r="AI322" s="32">
        <f t="shared" si="290"/>
        <v>1.55697329935154</v>
      </c>
      <c r="AJ322" s="32" t="str">
        <f t="shared" si="271"/>
        <v>1+1,08025410845067i</v>
      </c>
      <c r="AK322" s="32">
        <f t="shared" si="291"/>
        <v>1.4720560243498</v>
      </c>
      <c r="AL322" s="32">
        <f t="shared" si="292"/>
        <v>0.823958033820874</v>
      </c>
      <c r="AM322" s="32" t="str">
        <f t="shared" si="272"/>
        <v>1-0,109318939807187i</v>
      </c>
      <c r="AN322" s="32">
        <f t="shared" si="293"/>
        <v>1.00595756898617</v>
      </c>
      <c r="AO322" s="32">
        <f t="shared" si="294"/>
        <v>-0.108886559175429</v>
      </c>
      <c r="AP322" s="30" t="str">
        <f t="shared" si="295"/>
        <v>3,40713162985135-3,81568192088831i</v>
      </c>
      <c r="AQ322" s="32">
        <f t="shared" si="296"/>
        <v>14.1777010731991</v>
      </c>
      <c r="AR322" s="31">
        <f t="shared" si="297"/>
        <v>-48.237421320022</v>
      </c>
      <c r="AS322" t="str">
        <f t="shared" si="273"/>
        <v>-0,000100699300699301</v>
      </c>
      <c r="AT322" t="str">
        <f t="shared" si="274"/>
        <v>0,0154804271791368i</v>
      </c>
      <c r="AU322">
        <f t="shared" si="298"/>
        <v>0.0154804271791368</v>
      </c>
      <c r="AV322">
        <f t="shared" si="299"/>
        <v>1.5707963267949</v>
      </c>
      <c r="AW322" t="str">
        <f t="shared" si="275"/>
        <v>1+0,792569477655292i</v>
      </c>
      <c r="AX322">
        <f t="shared" si="300"/>
        <v>1.27599622919144</v>
      </c>
      <c r="AY322">
        <f t="shared" si="301"/>
        <v>0.670193684950956</v>
      </c>
      <c r="AZ322" t="str">
        <f t="shared" si="276"/>
        <v>1+37,8915663040731i</v>
      </c>
      <c r="BA322">
        <f t="shared" si="302"/>
        <v>37.9047595557071</v>
      </c>
      <c r="BB322">
        <f t="shared" si="303"/>
        <v>1.54441135432858</v>
      </c>
      <c r="BC322" s="30" t="str">
        <f t="shared" si="304"/>
        <v>-0,148220030459074+0,123979615395695i</v>
      </c>
      <c r="BD322" s="32">
        <f t="shared" si="305"/>
        <v>-14.2782426204581</v>
      </c>
      <c r="BE322" s="31">
        <f t="shared" si="306"/>
        <v>140.088982831101</v>
      </c>
      <c r="BF322" s="30" t="str">
        <f t="shared" si="307"/>
        <v>0,113234403418732+0,182464243298754i</v>
      </c>
      <c r="BG322" s="68">
        <f t="shared" si="308"/>
        <v>-13.361556190891</v>
      </c>
      <c r="BH322" s="31">
        <f t="shared" si="309"/>
        <v>58.1769206002492</v>
      </c>
      <c r="BI322" s="30" t="str">
        <f t="shared" si="316"/>
        <v>-0,0319383769306021+0,987975359607681i</v>
      </c>
      <c r="BJ322" s="68">
        <f t="shared" si="310"/>
        <v>-0.100541547259031</v>
      </c>
      <c r="BK322" s="31">
        <f t="shared" si="317"/>
        <v>91.851561511079</v>
      </c>
      <c r="BL322" s="32">
        <f t="shared" si="311"/>
        <v>-13.361556190891</v>
      </c>
      <c r="BM322" s="31">
        <f t="shared" si="312"/>
        <v>58.1769206002492</v>
      </c>
      <c r="BO322">
        <f t="shared" si="313"/>
        <v>0</v>
      </c>
      <c r="BP322">
        <f t="shared" si="314"/>
        <v>0</v>
      </c>
    </row>
    <row r="323" spans="14:68">
      <c r="N323" s="7">
        <v>5</v>
      </c>
      <c r="O323" s="18">
        <f t="shared" si="318"/>
        <v>11220.1845430196</v>
      </c>
      <c r="P323" s="86" t="str">
        <f t="shared" si="265"/>
        <v>75</v>
      </c>
      <c r="Q323" s="4" t="str">
        <f t="shared" si="266"/>
        <v>1+115,147547818756i</v>
      </c>
      <c r="R323" s="4">
        <f t="shared" si="277"/>
        <v>115.151889991753</v>
      </c>
      <c r="S323" s="4">
        <f t="shared" si="278"/>
        <v>1.56211203538059</v>
      </c>
      <c r="T323" s="4" t="str">
        <f t="shared" si="267"/>
        <v>1+1,10541645906006i</v>
      </c>
      <c r="U323" s="4">
        <f t="shared" si="279"/>
        <v>1.49061918274282</v>
      </c>
      <c r="V323" s="4">
        <f t="shared" si="280"/>
        <v>0.835425558496071</v>
      </c>
      <c r="W323" t="str">
        <f t="shared" si="268"/>
        <v>1-0,579850151515877i</v>
      </c>
      <c r="X323" s="4">
        <f t="shared" si="281"/>
        <v>1.15595250690199</v>
      </c>
      <c r="Y323" s="4">
        <f t="shared" si="282"/>
        <v>-0.525471657791769</v>
      </c>
      <c r="Z323" t="str">
        <f t="shared" si="269"/>
        <v>0,99897230578629+0,18195806379806i</v>
      </c>
      <c r="AA323" s="4">
        <f t="shared" si="283"/>
        <v>1.01540849154866</v>
      </c>
      <c r="AB323" s="4">
        <f t="shared" si="284"/>
        <v>0.180170086869273</v>
      </c>
      <c r="AC323" s="67" t="str">
        <f t="shared" si="285"/>
        <v>0,152551731838497-1,09466005734094i</v>
      </c>
      <c r="AD323" s="68">
        <f t="shared" si="286"/>
        <v>0.86912198019606</v>
      </c>
      <c r="AE323" s="31">
        <f t="shared" si="287"/>
        <v>-82.0663619720397</v>
      </c>
      <c r="AF323" s="32" t="str">
        <f t="shared" si="288"/>
        <v>249,914648392112</v>
      </c>
      <c r="AG323" s="32" t="str">
        <f t="shared" si="270"/>
        <v>1+74,0234235977715i</v>
      </c>
      <c r="AH323" s="32">
        <f t="shared" si="289"/>
        <v>74.0301779083038</v>
      </c>
      <c r="AI323" s="32">
        <f t="shared" si="290"/>
        <v>1.55728791114894</v>
      </c>
      <c r="AJ323" s="32" t="str">
        <f t="shared" si="271"/>
        <v>1+1,10541645906006i</v>
      </c>
      <c r="AK323" s="32">
        <f t="shared" si="291"/>
        <v>1.49061918274282</v>
      </c>
      <c r="AL323" s="32">
        <f t="shared" si="292"/>
        <v>0.835425558496071</v>
      </c>
      <c r="AM323" s="32" t="str">
        <f t="shared" si="272"/>
        <v>1-0,111865305028256i</v>
      </c>
      <c r="AN323" s="32">
        <f t="shared" si="293"/>
        <v>1.00623747021718</v>
      </c>
      <c r="AO323" s="32">
        <f t="shared" si="294"/>
        <v>-0.111402155802702</v>
      </c>
      <c r="AP323" s="30" t="str">
        <f t="shared" si="295"/>
        <v>3,40501182129535-3,74764508373041i</v>
      </c>
      <c r="AQ323" s="32">
        <f t="shared" si="296"/>
        <v>14.0890022146759</v>
      </c>
      <c r="AR323" s="31">
        <f t="shared" si="297"/>
        <v>-47.7425395525472</v>
      </c>
      <c r="AS323" t="str">
        <f t="shared" si="273"/>
        <v>-0,000100699300699301</v>
      </c>
      <c r="AT323" t="str">
        <f t="shared" si="274"/>
        <v>0,0158410126499231i</v>
      </c>
      <c r="AU323">
        <f t="shared" si="298"/>
        <v>0.0158410126499231</v>
      </c>
      <c r="AV323">
        <f t="shared" si="299"/>
        <v>1.5707963267949</v>
      </c>
      <c r="AW323" t="str">
        <f t="shared" si="275"/>
        <v>1+0,811030792380272i</v>
      </c>
      <c r="AX323">
        <f t="shared" si="300"/>
        <v>1.28754454143885</v>
      </c>
      <c r="AY323">
        <f t="shared" si="301"/>
        <v>0.681430936773699</v>
      </c>
      <c r="AZ323" t="str">
        <f t="shared" si="276"/>
        <v>1+38,7741742654993i</v>
      </c>
      <c r="BA323">
        <f t="shared" si="302"/>
        <v>38.7870673030497</v>
      </c>
      <c r="BB323">
        <f t="shared" si="303"/>
        <v>1.54501168036159</v>
      </c>
      <c r="BC323" s="30" t="str">
        <f t="shared" si="304"/>
        <v>-0,145573108596782+0,1244211463047i</v>
      </c>
      <c r="BD323" s="32">
        <f t="shared" si="305"/>
        <v>-14.3566360877073</v>
      </c>
      <c r="BE323" s="31">
        <f t="shared" si="306"/>
        <v>139.479531876355</v>
      </c>
      <c r="BF323" s="30" t="str">
        <f t="shared" si="307"/>
        <v>0,113991429322776+0,178333728749965i</v>
      </c>
      <c r="BG323" s="68">
        <f t="shared" si="308"/>
        <v>-13.4875141075112</v>
      </c>
      <c r="BH323" s="31">
        <f t="shared" si="309"/>
        <v>57.4131699043157</v>
      </c>
      <c r="BI323" s="30" t="str">
        <f t="shared" si="316"/>
        <v>-0,0293918583738434+0,969211818742705i</v>
      </c>
      <c r="BJ323" s="68">
        <f t="shared" si="310"/>
        <v>-0.267633873031397</v>
      </c>
      <c r="BK323" s="31">
        <f t="shared" si="317"/>
        <v>91.7369923238082</v>
      </c>
      <c r="BL323" s="32">
        <f t="shared" si="311"/>
        <v>-13.4875141075112</v>
      </c>
      <c r="BM323" s="31">
        <f t="shared" si="312"/>
        <v>57.4131699043157</v>
      </c>
      <c r="BO323">
        <f t="shared" si="313"/>
        <v>0</v>
      </c>
      <c r="BP323">
        <f t="shared" si="314"/>
        <v>0</v>
      </c>
    </row>
    <row r="324" spans="14:68">
      <c r="N324" s="7">
        <v>6</v>
      </c>
      <c r="O324" s="18">
        <f t="shared" si="318"/>
        <v>11481.5362149688</v>
      </c>
      <c r="P324" s="86" t="str">
        <f t="shared" si="265"/>
        <v>75</v>
      </c>
      <c r="Q324" s="4" t="str">
        <f t="shared" si="266"/>
        <v>1+117,829678761246i</v>
      </c>
      <c r="R324" s="4">
        <f t="shared" si="277"/>
        <v>117.833922097919</v>
      </c>
      <c r="S324" s="4">
        <f t="shared" si="278"/>
        <v>1.56230970438524</v>
      </c>
      <c r="T324" s="4" t="str">
        <f t="shared" si="267"/>
        <v>1+1,13116491610796i</v>
      </c>
      <c r="U324" s="4">
        <f t="shared" si="279"/>
        <v>1.5098125934809</v>
      </c>
      <c r="V324" s="4">
        <f t="shared" si="280"/>
        <v>0.84686674157216</v>
      </c>
      <c r="W324" t="str">
        <f t="shared" si="268"/>
        <v>1-0,593356596619131i</v>
      </c>
      <c r="X324" s="4">
        <f t="shared" si="281"/>
        <v>1.16278633065213</v>
      </c>
      <c r="Y324" s="4">
        <f t="shared" si="282"/>
        <v>-0.535520324867372</v>
      </c>
      <c r="Z324" t="str">
        <f t="shared" si="269"/>
        <v>0,998923872050158+0,186196411573529i</v>
      </c>
      <c r="AA324" s="4">
        <f t="shared" si="283"/>
        <v>1.0161289316984</v>
      </c>
      <c r="AB324" s="4">
        <f t="shared" si="284"/>
        <v>0.184282196491972</v>
      </c>
      <c r="AC324" s="67" t="str">
        <f t="shared" si="285"/>
        <v>0,148606061301411-1,08958954053449i</v>
      </c>
      <c r="AD324" s="68">
        <f t="shared" si="286"/>
        <v>0.825301485135387</v>
      </c>
      <c r="AE324" s="31">
        <f t="shared" si="287"/>
        <v>-82.2335088082902</v>
      </c>
      <c r="AF324" s="32" t="str">
        <f t="shared" si="288"/>
        <v>249,914648392112</v>
      </c>
      <c r="AG324" s="32" t="str">
        <f t="shared" si="270"/>
        <v>1+75,7476506322294i</v>
      </c>
      <c r="AH324" s="32">
        <f t="shared" si="289"/>
        <v>75.7542512094356</v>
      </c>
      <c r="AI324" s="32">
        <f t="shared" si="290"/>
        <v>1.55759536409167</v>
      </c>
      <c r="AJ324" s="32" t="str">
        <f t="shared" si="271"/>
        <v>1+1,13116491610796i</v>
      </c>
      <c r="AK324" s="32">
        <f t="shared" si="291"/>
        <v>1.5098125934809</v>
      </c>
      <c r="AL324" s="32">
        <f t="shared" si="292"/>
        <v>0.84686674157216</v>
      </c>
      <c r="AM324" s="32" t="str">
        <f t="shared" si="272"/>
        <v>1-0,114470982714763i</v>
      </c>
      <c r="AN324" s="32">
        <f t="shared" si="293"/>
        <v>1.0065304793615</v>
      </c>
      <c r="AO324" s="32">
        <f t="shared" si="294"/>
        <v>-0.113974883114453</v>
      </c>
      <c r="AP324" s="30" t="str">
        <f t="shared" si="295"/>
        <v>3,40298738580667-3,68159271961338i</v>
      </c>
      <c r="AQ324" s="32">
        <f t="shared" si="296"/>
        <v>14.0026935348725</v>
      </c>
      <c r="AR324" s="31">
        <f t="shared" si="297"/>
        <v>-47.2520302224696</v>
      </c>
      <c r="AS324" t="str">
        <f t="shared" si="273"/>
        <v>-0,000100699300699301</v>
      </c>
      <c r="AT324" t="str">
        <f t="shared" si="274"/>
        <v>0,0162099972352971i</v>
      </c>
      <c r="AU324">
        <f t="shared" si="298"/>
        <v>0.0162099972352971</v>
      </c>
      <c r="AV324">
        <f t="shared" si="299"/>
        <v>1.5707963267949</v>
      </c>
      <c r="AW324" t="str">
        <f t="shared" si="275"/>
        <v>1+0,829922126366639i</v>
      </c>
      <c r="AX324">
        <f t="shared" si="300"/>
        <v>1.29952712008366</v>
      </c>
      <c r="AY324">
        <f t="shared" si="301"/>
        <v>0.692721724547643</v>
      </c>
      <c r="AZ324" t="str">
        <f t="shared" si="276"/>
        <v>1+39,6773408073582i</v>
      </c>
      <c r="BA324">
        <f t="shared" si="302"/>
        <v>39.6899404577942</v>
      </c>
      <c r="BB324">
        <f t="shared" si="303"/>
        <v>1.54559835926882</v>
      </c>
      <c r="BC324" s="30" t="str">
        <f t="shared" si="304"/>
        <v>-0,142900907066661+0,124808797254218i</v>
      </c>
      <c r="BD324" s="32">
        <f t="shared" si="305"/>
        <v>-14.4372277213675</v>
      </c>
      <c r="BE324" s="31">
        <f t="shared" si="306"/>
        <v>138.866231614845</v>
      </c>
      <c r="BF324" s="30" t="str">
        <f t="shared" si="307"/>
        <v>0,11475441909931+0,174250677448441i</v>
      </c>
      <c r="BG324" s="68">
        <f t="shared" si="308"/>
        <v>-13.6119262362321</v>
      </c>
      <c r="BH324" s="31">
        <f t="shared" si="309"/>
        <v>56.6327228065545</v>
      </c>
      <c r="BI324" s="30" t="str">
        <f t="shared" si="316"/>
        <v>-0,0267948248533472+0,950825701776573i</v>
      </c>
      <c r="BJ324" s="68">
        <f t="shared" si="310"/>
        <v>-0.434534186495051</v>
      </c>
      <c r="BK324" s="31">
        <f t="shared" si="317"/>
        <v>91.6142013923749</v>
      </c>
      <c r="BL324" s="32">
        <f t="shared" si="311"/>
        <v>-13.6119262362321</v>
      </c>
      <c r="BM324" s="31">
        <f t="shared" si="312"/>
        <v>56.6327228065545</v>
      </c>
      <c r="BO324">
        <f t="shared" si="313"/>
        <v>0</v>
      </c>
      <c r="BP324">
        <f t="shared" si="314"/>
        <v>0</v>
      </c>
    </row>
    <row r="325" spans="14:68">
      <c r="N325" s="7">
        <v>7</v>
      </c>
      <c r="O325" s="18">
        <f t="shared" si="318"/>
        <v>11748.9755493953</v>
      </c>
      <c r="P325" s="86" t="str">
        <f t="shared" si="265"/>
        <v>75</v>
      </c>
      <c r="Q325" s="4" t="str">
        <f t="shared" si="266"/>
        <v>1+120,574284559075i</v>
      </c>
      <c r="R325" s="4">
        <f t="shared" si="277"/>
        <v>120.578431308973</v>
      </c>
      <c r="S325" s="4">
        <f t="shared" si="278"/>
        <v>1.56250287453487</v>
      </c>
      <c r="T325" s="4" t="str">
        <f t="shared" si="267"/>
        <v>1+1,15751313176712i</v>
      </c>
      <c r="U325" s="4">
        <f t="shared" si="279"/>
        <v>1.52965246059794</v>
      </c>
      <c r="V325" s="4">
        <f t="shared" si="280"/>
        <v>0.85827566900749</v>
      </c>
      <c r="W325" t="str">
        <f t="shared" si="268"/>
        <v>1-0,607177647243916i</v>
      </c>
      <c r="X325" s="4">
        <f t="shared" si="281"/>
        <v>1.16989943811964</v>
      </c>
      <c r="Y325" s="4">
        <f t="shared" si="282"/>
        <v>-0.545680473928927</v>
      </c>
      <c r="Z325" t="str">
        <f t="shared" si="269"/>
        <v>0,998873155702365+0,190533483151015i</v>
      </c>
      <c r="AA325" s="4">
        <f t="shared" si="283"/>
        <v>1.01688278055264</v>
      </c>
      <c r="AB325" s="4">
        <f t="shared" si="284"/>
        <v>0.188484197351513</v>
      </c>
      <c r="AC325" s="67" t="str">
        <f t="shared" si="285"/>
        <v>0,144509018143417-1,08503581260437i</v>
      </c>
      <c r="AD325" s="68">
        <f t="shared" si="286"/>
        <v>0.78524085333879</v>
      </c>
      <c r="AE325" s="31">
        <f t="shared" si="287"/>
        <v>-82.4137838269892</v>
      </c>
      <c r="AF325" s="32" t="str">
        <f t="shared" si="288"/>
        <v>249,914648392112</v>
      </c>
      <c r="AG325" s="32" t="str">
        <f t="shared" si="270"/>
        <v>1+77,5120400736913i</v>
      </c>
      <c r="AH325" s="32">
        <f t="shared" si="289"/>
        <v>77.5184904160648</v>
      </c>
      <c r="AI325" s="32">
        <f t="shared" si="290"/>
        <v>1.55789582096272</v>
      </c>
      <c r="AJ325" s="32" t="str">
        <f t="shared" si="271"/>
        <v>1+1,15751313176712i</v>
      </c>
      <c r="AK325" s="32">
        <f t="shared" si="291"/>
        <v>1.52965246059794</v>
      </c>
      <c r="AL325" s="32">
        <f t="shared" si="292"/>
        <v>0.85827566900749</v>
      </c>
      <c r="AM325" s="32" t="str">
        <f t="shared" si="272"/>
        <v>1-0,117137354431508i</v>
      </c>
      <c r="AN325" s="32">
        <f t="shared" si="293"/>
        <v>1.00683720620725</v>
      </c>
      <c r="AO325" s="32">
        <f t="shared" si="294"/>
        <v>-0.116605968901475</v>
      </c>
      <c r="AP325" s="30" t="str">
        <f t="shared" si="295"/>
        <v>3,40105403388405-3,61748997870983i</v>
      </c>
      <c r="AQ325" s="32">
        <f t="shared" si="296"/>
        <v>13.9187686246557</v>
      </c>
      <c r="AR325" s="31">
        <f t="shared" si="297"/>
        <v>-46.7663118534244</v>
      </c>
      <c r="AS325" t="str">
        <f t="shared" si="273"/>
        <v>-0,000100699300699301</v>
      </c>
      <c r="AT325" t="str">
        <f t="shared" si="274"/>
        <v>0,01658757657577i</v>
      </c>
      <c r="AU325">
        <f t="shared" si="298"/>
        <v>0.01658757657577</v>
      </c>
      <c r="AV325">
        <f t="shared" si="299"/>
        <v>1.5707963267949</v>
      </c>
      <c r="AW325" t="str">
        <f t="shared" si="275"/>
        <v>1+0,849253496049726i</v>
      </c>
      <c r="AX325">
        <f t="shared" si="300"/>
        <v>1.31195712603449</v>
      </c>
      <c r="AY325">
        <f t="shared" si="301"/>
        <v>0.704060520556142</v>
      </c>
      <c r="AZ325" t="str">
        <f t="shared" si="276"/>
        <v>1+40,6015448005049i</v>
      </c>
      <c r="BA325">
        <f t="shared" si="302"/>
        <v>40.6138577358444</v>
      </c>
      <c r="BB325">
        <f t="shared" si="303"/>
        <v>1.54617170049883</v>
      </c>
      <c r="BC325" s="30" t="str">
        <f t="shared" si="304"/>
        <v>-0,140205933891325+0,125141145813541i</v>
      </c>
      <c r="BD325" s="32">
        <f t="shared" si="305"/>
        <v>-14.5200377144277</v>
      </c>
      <c r="BE325" s="31">
        <f t="shared" si="306"/>
        <v>138.249416491498</v>
      </c>
      <c r="BF325" s="30" t="str">
        <f t="shared" si="307"/>
        <v>0,115521602993521+0,170212483522585i</v>
      </c>
      <c r="BG325" s="68">
        <f t="shared" si="308"/>
        <v>-13.7347968610889</v>
      </c>
      <c r="BH325" s="31">
        <f t="shared" si="309"/>
        <v>55.8356326645089</v>
      </c>
      <c r="BI325" s="30" t="str">
        <f t="shared" si="316"/>
        <v>-0,0241511161308212+0,932805359581537i</v>
      </c>
      <c r="BJ325" s="68">
        <f t="shared" si="310"/>
        <v>-0.601269089772039</v>
      </c>
      <c r="BK325" s="31">
        <f t="shared" si="317"/>
        <v>91.4831046380737</v>
      </c>
      <c r="BL325" s="32">
        <f t="shared" si="311"/>
        <v>-13.7347968610889</v>
      </c>
      <c r="BM325" s="31">
        <f t="shared" si="312"/>
        <v>55.8356326645089</v>
      </c>
      <c r="BO325">
        <f t="shared" si="313"/>
        <v>0</v>
      </c>
      <c r="BP325">
        <f t="shared" si="314"/>
        <v>0</v>
      </c>
    </row>
    <row r="326" spans="14:68">
      <c r="N326" s="7">
        <v>8</v>
      </c>
      <c r="O326" s="18">
        <f t="shared" si="318"/>
        <v>12022.6443461742</v>
      </c>
      <c r="P326" s="86" t="str">
        <f t="shared" si="265"/>
        <v>75</v>
      </c>
      <c r="Q326" s="4" t="str">
        <f t="shared" si="266"/>
        <v>1+123,382820438568i</v>
      </c>
      <c r="R326" s="4">
        <f t="shared" si="277"/>
        <v>123.386872800051</v>
      </c>
      <c r="S326" s="4">
        <f t="shared" si="278"/>
        <v>1.56269164819314</v>
      </c>
      <c r="T326" s="4" t="str">
        <f t="shared" si="267"/>
        <v>1+1,18447507621026i</v>
      </c>
      <c r="U326" s="4">
        <f t="shared" si="279"/>
        <v>1.5501552200226</v>
      </c>
      <c r="V326" s="4">
        <f t="shared" si="280"/>
        <v>0.869646510655617</v>
      </c>
      <c r="W326" t="str">
        <f t="shared" si="268"/>
        <v>1-0,621320631494219i</v>
      </c>
      <c r="X326" s="4">
        <f t="shared" si="281"/>
        <v>1.17730171456614</v>
      </c>
      <c r="Y326" s="4">
        <f t="shared" si="282"/>
        <v>-0.555949100987703</v>
      </c>
      <c r="Z326" t="str">
        <f t="shared" si="269"/>
        <v>0,998820049166738+0,194971578103278i</v>
      </c>
      <c r="AA326" s="4">
        <f t="shared" si="283"/>
        <v>1.01767156140158</v>
      </c>
      <c r="AB326" s="4">
        <f t="shared" si="284"/>
        <v>0.192777780574315</v>
      </c>
      <c r="AC326" s="67" t="str">
        <f t="shared" si="285"/>
        <v>0,140253442456152-1,08099241732142i</v>
      </c>
      <c r="AD326" s="68">
        <f t="shared" si="286"/>
        <v>0.74895262483349</v>
      </c>
      <c r="AE326" s="31">
        <f t="shared" si="287"/>
        <v>-82.6074517144589</v>
      </c>
      <c r="AF326" s="32" t="str">
        <f t="shared" si="288"/>
        <v>249,914648392112</v>
      </c>
      <c r="AG326" s="32" t="str">
        <f t="shared" si="270"/>
        <v>1+79,3175274247938i</v>
      </c>
      <c r="AH326" s="32">
        <f t="shared" si="289"/>
        <v>79.3238309512527</v>
      </c>
      <c r="AI326" s="32">
        <f t="shared" si="290"/>
        <v>1.55818944085119</v>
      </c>
      <c r="AJ326" s="32" t="str">
        <f t="shared" si="271"/>
        <v>1+1,18447507621026i</v>
      </c>
      <c r="AK326" s="32">
        <f t="shared" si="291"/>
        <v>1.5501552200226</v>
      </c>
      <c r="AL326" s="32">
        <f t="shared" si="292"/>
        <v>0.869646510655617</v>
      </c>
      <c r="AM326" s="32" t="str">
        <f t="shared" si="272"/>
        <v>1-0,11986583392407i</v>
      </c>
      <c r="AN326" s="32">
        <f t="shared" si="293"/>
        <v>1.00715828852386</v>
      </c>
      <c r="AO326" s="32">
        <f t="shared" si="294"/>
        <v>-0.11929666240972</v>
      </c>
      <c r="AP326" s="30" t="str">
        <f t="shared" si="295"/>
        <v>3,39920766882227-3,55530303343385i</v>
      </c>
      <c r="AQ326" s="32">
        <f t="shared" si="296"/>
        <v>13.8372190069221</v>
      </c>
      <c r="AR326" s="31">
        <f t="shared" si="297"/>
        <v>-46.2857991798514</v>
      </c>
      <c r="AS326" t="str">
        <f t="shared" si="273"/>
        <v>-0,000100699300699301</v>
      </c>
      <c r="AT326" t="str">
        <f t="shared" si="274"/>
        <v>0,0169739508689059i</v>
      </c>
      <c r="AU326">
        <f t="shared" si="298"/>
        <v>0.0169739508689059</v>
      </c>
      <c r="AV326">
        <f t="shared" si="299"/>
        <v>1.5707963267949</v>
      </c>
      <c r="AW326" t="str">
        <f t="shared" si="275"/>
        <v>1+0,869035151177622i</v>
      </c>
      <c r="AX326">
        <f t="shared" si="300"/>
        <v>1.32484795126924</v>
      </c>
      <c r="AY326">
        <f t="shared" si="301"/>
        <v>0.715441675100004</v>
      </c>
      <c r="AZ326" t="str">
        <f t="shared" si="276"/>
        <v>1+41,5472762701301i</v>
      </c>
      <c r="BA326">
        <f t="shared" si="302"/>
        <v>41.5593090109366</v>
      </c>
      <c r="BB326">
        <f t="shared" si="303"/>
        <v>1.54673200653612</v>
      </c>
      <c r="BC326" s="30" t="str">
        <f t="shared" si="304"/>
        <v>-0,13749078866175+0,125416907087936i</v>
      </c>
      <c r="BD326" s="32">
        <f t="shared" si="305"/>
        <v>-14.6050841304289</v>
      </c>
      <c r="BE326" s="31">
        <f t="shared" si="306"/>
        <v>137.629427541321</v>
      </c>
      <c r="BF326" s="30" t="str">
        <f t="shared" si="307"/>
        <v>0,116291169150142+0,16621665295618i</v>
      </c>
      <c r="BG326" s="68">
        <f t="shared" si="308"/>
        <v>-13.8561315055954</v>
      </c>
      <c r="BH326" s="31">
        <f t="shared" si="309"/>
        <v>55.021975826862</v>
      </c>
      <c r="BI326" s="30" t="str">
        <f t="shared" si="316"/>
        <v>-0,0214646329978124+0,915139530371614i</v>
      </c>
      <c r="BJ326" s="68">
        <f t="shared" si="310"/>
        <v>-0.767865123506733</v>
      </c>
      <c r="BK326" s="31">
        <f t="shared" si="317"/>
        <v>91.3436283614695</v>
      </c>
      <c r="BL326" s="32">
        <f t="shared" si="311"/>
        <v>-13.8561315055954</v>
      </c>
      <c r="BM326" s="31">
        <f t="shared" si="312"/>
        <v>55.021975826862</v>
      </c>
      <c r="BO326">
        <f t="shared" si="313"/>
        <v>0</v>
      </c>
      <c r="BP326">
        <f t="shared" si="314"/>
        <v>0</v>
      </c>
    </row>
    <row r="327" spans="14:68">
      <c r="N327" s="7">
        <v>9</v>
      </c>
      <c r="O327" s="18">
        <f t="shared" si="318"/>
        <v>12302.6877081238</v>
      </c>
      <c r="P327" s="86" t="str">
        <f t="shared" si="265"/>
        <v>75</v>
      </c>
      <c r="Q327" s="4" t="str">
        <f t="shared" si="266"/>
        <v>1+126,256775522621i</v>
      </c>
      <c r="R327" s="4">
        <f t="shared" si="277"/>
        <v>126.260735644022</v>
      </c>
      <c r="S327" s="4">
        <f t="shared" si="278"/>
        <v>1.56287612539652</v>
      </c>
      <c r="T327" s="4" t="str">
        <f t="shared" si="267"/>
        <v>1+1,21206504501716i</v>
      </c>
      <c r="U327" s="4">
        <f t="shared" si="279"/>
        <v>1.57133754278082</v>
      </c>
      <c r="V327" s="4">
        <f t="shared" si="280"/>
        <v>0.880973534696913</v>
      </c>
      <c r="W327" t="str">
        <f t="shared" si="268"/>
        <v>1-0,635793048167482i</v>
      </c>
      <c r="X327" s="4">
        <f t="shared" si="281"/>
        <v>1.18500329117606</v>
      </c>
      <c r="Y327" s="4">
        <f t="shared" si="282"/>
        <v>-0.566322988019104</v>
      </c>
      <c r="Z327" t="str">
        <f t="shared" si="269"/>
        <v>0,998764439797195+0,199513049567003i</v>
      </c>
      <c r="AA327" s="4">
        <f t="shared" si="283"/>
        <v>1.0184968645759</v>
      </c>
      <c r="AB327" s="4">
        <f t="shared" si="284"/>
        <v>0.197164650061956</v>
      </c>
      <c r="AC327" s="67" t="str">
        <f t="shared" si="285"/>
        <v>0,135831975530573-1,07745291146471i</v>
      </c>
      <c r="AD327" s="68">
        <f t="shared" si="286"/>
        <v>0.716445901836331</v>
      </c>
      <c r="AE327" s="31">
        <f t="shared" si="287"/>
        <v>-82.8147598585805</v>
      </c>
      <c r="AF327" s="32" t="str">
        <f t="shared" si="288"/>
        <v>249,914648392112</v>
      </c>
      <c r="AG327" s="32" t="str">
        <f t="shared" si="270"/>
        <v>1+81,1650699788275i</v>
      </c>
      <c r="AH327" s="32">
        <f t="shared" si="289"/>
        <v>81.1712300305223</v>
      </c>
      <c r="AI327" s="32">
        <f t="shared" si="290"/>
        <v>1.5584763792356</v>
      </c>
      <c r="AJ327" s="32" t="str">
        <f t="shared" si="271"/>
        <v>1+1,21206504501716i</v>
      </c>
      <c r="AK327" s="32">
        <f t="shared" si="291"/>
        <v>1.57133754278082</v>
      </c>
      <c r="AL327" s="32">
        <f t="shared" si="292"/>
        <v>0.880973534696913</v>
      </c>
      <c r="AM327" s="32" t="str">
        <f t="shared" si="272"/>
        <v>1-0,122657867868389i</v>
      </c>
      <c r="AN327" s="32">
        <f t="shared" si="293"/>
        <v>1.00749439330947</v>
      </c>
      <c r="AO327" s="32">
        <f t="shared" si="294"/>
        <v>-0.122048234355271</v>
      </c>
      <c r="AP327" s="30" t="str">
        <f t="shared" si="295"/>
        <v>3,39744437805796-3,49499906127043i</v>
      </c>
      <c r="AQ327" s="32">
        <f t="shared" si="296"/>
        <v>13.7580342038634</v>
      </c>
      <c r="AR327" s="31">
        <f t="shared" si="297"/>
        <v>-45.8109023257556</v>
      </c>
      <c r="AS327" t="str">
        <f t="shared" si="273"/>
        <v>-0,000100699300699301</v>
      </c>
      <c r="AT327" t="str">
        <f t="shared" si="274"/>
        <v>0,0173693249754691i</v>
      </c>
      <c r="AU327">
        <f t="shared" si="298"/>
        <v>0.0173693249754691</v>
      </c>
      <c r="AV327">
        <f t="shared" si="299"/>
        <v>1.5707963267949</v>
      </c>
      <c r="AW327" t="str">
        <f t="shared" si="275"/>
        <v>1+0,8892775802457i</v>
      </c>
      <c r="AX327">
        <f t="shared" si="300"/>
        <v>1.33821321721452</v>
      </c>
      <c r="AY327">
        <f t="shared" si="301"/>
        <v>0.726859429812753</v>
      </c>
      <c r="AZ327" t="str">
        <f t="shared" si="276"/>
        <v>1+42,5150366555763i</v>
      </c>
      <c r="BA327">
        <f t="shared" si="302"/>
        <v>42.5267955743787</v>
      </c>
      <c r="BB327">
        <f t="shared" si="303"/>
        <v>1.54727957305432</v>
      </c>
      <c r="BC327" s="30" t="str">
        <f t="shared" si="304"/>
        <v>-0,134758153073738+0,125634941081656i</v>
      </c>
      <c r="BD327" s="32">
        <f t="shared" si="305"/>
        <v>-14.6923828320006</v>
      </c>
      <c r="BE327" s="31">
        <f t="shared" si="306"/>
        <v>137.00661163526</v>
      </c>
      <c r="BF327" s="30" t="str">
        <f t="shared" si="307"/>
        <v>0,11706126689927+0,162260806615695i</v>
      </c>
      <c r="BG327" s="68">
        <f t="shared" si="308"/>
        <v>-13.9759369301642</v>
      </c>
      <c r="BH327" s="31">
        <f t="shared" si="309"/>
        <v>54.1918517766797</v>
      </c>
      <c r="BI327" s="30" t="str">
        <f t="shared" si="316"/>
        <v>-0,0187393284146918+0,897817342756766i</v>
      </c>
      <c r="BJ327" s="68">
        <f t="shared" si="310"/>
        <v>-0.934348628137154</v>
      </c>
      <c r="BK327" s="31">
        <f t="shared" si="317"/>
        <v>91.1957093095044</v>
      </c>
      <c r="BL327" s="32">
        <f t="shared" si="311"/>
        <v>-13.9759369301642</v>
      </c>
      <c r="BM327" s="31">
        <f t="shared" si="312"/>
        <v>54.1918517766797</v>
      </c>
      <c r="BO327">
        <f t="shared" si="313"/>
        <v>0</v>
      </c>
      <c r="BP327">
        <f t="shared" si="314"/>
        <v>0</v>
      </c>
    </row>
    <row r="328" spans="14:68">
      <c r="N328" s="7">
        <v>10</v>
      </c>
      <c r="O328" s="18">
        <f t="shared" si="318"/>
        <v>12589.2541179417</v>
      </c>
      <c r="P328" s="86" t="str">
        <f t="shared" si="265"/>
        <v>75</v>
      </c>
      <c r="Q328" s="4" t="str">
        <f t="shared" si="266"/>
        <v>1+129,197673620262i</v>
      </c>
      <c r="R328" s="4">
        <f t="shared" si="277"/>
        <v>129.201543601026</v>
      </c>
      <c r="S328" s="4">
        <f t="shared" si="278"/>
        <v>1.56305640390699</v>
      </c>
      <c r="T328" s="4" t="str">
        <f t="shared" si="267"/>
        <v>1+1,24029766675452i</v>
      </c>
      <c r="U328" s="4">
        <f t="shared" si="279"/>
        <v>1.59321633878036</v>
      </c>
      <c r="V328" s="4">
        <f t="shared" si="280"/>
        <v>0.892251121458909</v>
      </c>
      <c r="W328" t="str">
        <f t="shared" si="268"/>
        <v>1-0,650602570730607i</v>
      </c>
      <c r="X328" s="4">
        <f t="shared" si="281"/>
        <v>1.19301454519267</v>
      </c>
      <c r="Y328" s="4">
        <f t="shared" si="282"/>
        <v>-0.576798703774674</v>
      </c>
      <c r="Z328" t="str">
        <f t="shared" si="269"/>
        <v>0,998706209638807+0,204160305490478i</v>
      </c>
      <c r="AA328" s="4">
        <f t="shared" si="283"/>
        <v>1.01936035017509</v>
      </c>
      <c r="AB328" s="4">
        <f t="shared" si="284"/>
        <v>0.201646521135865</v>
      </c>
      <c r="AC328" s="67" t="str">
        <f t="shared" si="285"/>
        <v>0,131237056100873-1,0744108468384i</v>
      </c>
      <c r="AD328" s="68">
        <f t="shared" si="286"/>
        <v>0.687726286120114</v>
      </c>
      <c r="AE328" s="31">
        <f t="shared" si="287"/>
        <v>-83.0359375288421</v>
      </c>
      <c r="AF328" s="32" t="str">
        <f t="shared" si="288"/>
        <v>249,914648392112</v>
      </c>
      <c r="AG328" s="32" t="str">
        <f t="shared" si="270"/>
        <v>1+83,0556473273114i</v>
      </c>
      <c r="AH328" s="32">
        <f t="shared" si="289"/>
        <v>83.0616671693913</v>
      </c>
      <c r="AI328" s="32">
        <f t="shared" si="290"/>
        <v>1.55875678806538</v>
      </c>
      <c r="AJ328" s="32" t="str">
        <f t="shared" si="271"/>
        <v>1+1,24029766675452i</v>
      </c>
      <c r="AK328" s="32">
        <f t="shared" si="291"/>
        <v>1.59321633878036</v>
      </c>
      <c r="AL328" s="32">
        <f t="shared" si="292"/>
        <v>0.892251121458909</v>
      </c>
      <c r="AM328" s="32" t="str">
        <f t="shared" si="272"/>
        <v>1-0,125514936637822i</v>
      </c>
      <c r="AN328" s="32">
        <f t="shared" si="293"/>
        <v>1.00784621809044</v>
      </c>
      <c r="AO328" s="32">
        <f t="shared" si="294"/>
        <v>-0.124861976908095</v>
      </c>
      <c r="AP328" s="30" t="str">
        <f t="shared" si="295"/>
        <v>3,39576042490318-3,43654622808661i</v>
      </c>
      <c r="AQ328" s="32">
        <f t="shared" si="296"/>
        <v>13.6812018131191</v>
      </c>
      <c r="AR328" s="31">
        <f t="shared" si="297"/>
        <v>-45.3420260165982</v>
      </c>
      <c r="AS328" t="str">
        <f t="shared" si="273"/>
        <v>-0,000100699300699301</v>
      </c>
      <c r="AT328" t="str">
        <f t="shared" si="274"/>
        <v>0,0177739085280447i</v>
      </c>
      <c r="AU328">
        <f t="shared" si="298"/>
        <v>0.0177739085280447</v>
      </c>
      <c r="AV328">
        <f t="shared" si="299"/>
        <v>1.5707963267949</v>
      </c>
      <c r="AW328" t="str">
        <f t="shared" si="275"/>
        <v>1+0,909991516057813i</v>
      </c>
      <c r="AX328">
        <f t="shared" si="300"/>
        <v>1.3520667732391</v>
      </c>
      <c r="AY328">
        <f t="shared" si="301"/>
        <v>0.738307931645276</v>
      </c>
      <c r="AZ328" t="str">
        <f t="shared" si="276"/>
        <v>1+43,5053390762107i</v>
      </c>
      <c r="BA328">
        <f t="shared" si="302"/>
        <v>43.5168304008468</v>
      </c>
      <c r="BB328">
        <f t="shared" si="303"/>
        <v>1.54781468906628</v>
      </c>
      <c r="BC328" s="30" t="str">
        <f t="shared" si="304"/>
        <v>-0,132010780765488+0,125794259273493i</v>
      </c>
      <c r="BD328" s="32">
        <f t="shared" si="305"/>
        <v>-14.7819474175104</v>
      </c>
      <c r="BE328" s="31">
        <f t="shared" si="306"/>
        <v>136.381320687544</v>
      </c>
      <c r="BF328" s="30" t="str">
        <f t="shared" si="307"/>
        <v>0,117830010392202+0,158342683015489i</v>
      </c>
      <c r="BG328" s="68">
        <f t="shared" si="308"/>
        <v>-14.0942211313903</v>
      </c>
      <c r="BH328" s="31">
        <f t="shared" si="309"/>
        <v>53.3453831587023</v>
      </c>
      <c r="BI328" s="30" t="str">
        <f t="shared" si="316"/>
        <v>-0,0159791977627426+0,880828318027344i</v>
      </c>
      <c r="BJ328" s="68">
        <f t="shared" si="310"/>
        <v>-1.10074560439129</v>
      </c>
      <c r="BK328" s="31">
        <f t="shared" si="317"/>
        <v>91.0392946709462</v>
      </c>
      <c r="BL328" s="32">
        <f t="shared" si="311"/>
        <v>-14.0942211313903</v>
      </c>
      <c r="BM328" s="31">
        <f t="shared" si="312"/>
        <v>53.3453831587023</v>
      </c>
      <c r="BO328">
        <f t="shared" si="313"/>
        <v>0</v>
      </c>
      <c r="BP328">
        <f t="shared" si="314"/>
        <v>0</v>
      </c>
    </row>
    <row r="329" spans="14:68">
      <c r="N329" s="7">
        <v>11</v>
      </c>
      <c r="O329" s="18">
        <f t="shared" si="318"/>
        <v>12882.4955169314</v>
      </c>
      <c r="P329" s="86" t="str">
        <f t="shared" si="265"/>
        <v>75</v>
      </c>
      <c r="Q329" s="4" t="str">
        <f t="shared" si="266"/>
        <v>1+132,207074034591i</v>
      </c>
      <c r="R329" s="4">
        <f t="shared" si="277"/>
        <v>132.210855926387</v>
      </c>
      <c r="S329" s="4">
        <f t="shared" si="278"/>
        <v>1.56323257926371</v>
      </c>
      <c r="T329" s="4" t="str">
        <f t="shared" si="267"/>
        <v>1+1,26918791073207i</v>
      </c>
      <c r="U329" s="4">
        <f t="shared" si="279"/>
        <v>1.61580876119312</v>
      </c>
      <c r="V329" s="4">
        <f t="shared" si="280"/>
        <v>0.903473776548129</v>
      </c>
      <c r="W329" t="str">
        <f t="shared" si="268"/>
        <v>1-0,665757051388475i</v>
      </c>
      <c r="X329" s="4">
        <f t="shared" si="281"/>
        <v>1.20134609978702</v>
      </c>
      <c r="Y329" s="4">
        <f t="shared" si="282"/>
        <v>-0.587372605489429</v>
      </c>
      <c r="Z329" t="str">
        <f t="shared" si="269"/>
        <v>0,998645235177602+0,208915809910304i</v>
      </c>
      <c r="AA329" s="4">
        <f t="shared" si="283"/>
        <v>1.0202637508867</v>
      </c>
      <c r="AB329" s="4">
        <f t="shared" si="284"/>
        <v>0.206225119060164</v>
      </c>
      <c r="AC329" s="67" t="str">
        <f t="shared" si="285"/>
        <v>0,12646091710968-1,07185975163903i</v>
      </c>
      <c r="AD329" s="68">
        <f t="shared" si="286"/>
        <v>0.662795822665885</v>
      </c>
      <c r="AE329" s="31">
        <f t="shared" si="287"/>
        <v>-83.2711951400842</v>
      </c>
      <c r="AF329" s="32" t="str">
        <f t="shared" si="288"/>
        <v>249,914648392112</v>
      </c>
      <c r="AG329" s="32" t="str">
        <f t="shared" si="270"/>
        <v>1+84,9902618793798i</v>
      </c>
      <c r="AH329" s="32">
        <f t="shared" si="289"/>
        <v>84.9961447027191</v>
      </c>
      <c r="AI329" s="32">
        <f t="shared" si="290"/>
        <v>1.55903081584051</v>
      </c>
      <c r="AJ329" s="32" t="str">
        <f t="shared" si="271"/>
        <v>1+1,26918791073207i</v>
      </c>
      <c r="AK329" s="32">
        <f t="shared" si="291"/>
        <v>1.61580876119312</v>
      </c>
      <c r="AL329" s="32">
        <f t="shared" si="292"/>
        <v>0.903473776548129</v>
      </c>
      <c r="AM329" s="32" t="str">
        <f t="shared" si="272"/>
        <v>1-0,128438555088046i</v>
      </c>
      <c r="AN329" s="32">
        <f t="shared" si="293"/>
        <v>1.00821449227489</v>
      </c>
      <c r="AO329" s="32">
        <f t="shared" si="294"/>
        <v>-0.127739203641901</v>
      </c>
      <c r="AP329" s="30" t="str">
        <f t="shared" si="295"/>
        <v>3,39415224064879-3,37991367191931i</v>
      </c>
      <c r="AQ329" s="32">
        <f t="shared" si="296"/>
        <v>13.6067075922592</v>
      </c>
      <c r="AR329" s="31">
        <f t="shared" si="297"/>
        <v>-44.8795688285883</v>
      </c>
      <c r="AS329" t="str">
        <f t="shared" si="273"/>
        <v>-0,000100699300699301</v>
      </c>
      <c r="AT329" t="str">
        <f t="shared" si="274"/>
        <v>0,0181879160421873i</v>
      </c>
      <c r="AU329">
        <f t="shared" si="298"/>
        <v>0.0181879160421873</v>
      </c>
      <c r="AV329">
        <f t="shared" si="299"/>
        <v>1.5707963267949</v>
      </c>
      <c r="AW329" t="str">
        <f t="shared" si="275"/>
        <v>1+0,931187941416903i</v>
      </c>
      <c r="AX329">
        <f t="shared" si="300"/>
        <v>1.36642269530342</v>
      </c>
      <c r="AY329">
        <f t="shared" si="301"/>
        <v>0.749781247440876</v>
      </c>
      <c r="AZ329" t="str">
        <f t="shared" si="276"/>
        <v>1+44,5187086034846i</v>
      </c>
      <c r="BA329">
        <f t="shared" si="302"/>
        <v>44.5299384203703</v>
      </c>
      <c r="BB329">
        <f t="shared" si="303"/>
        <v>1.54833763707106</v>
      </c>
      <c r="BC329" s="30" t="str">
        <f t="shared" si="304"/>
        <v>-0,12925148653381+0,125894030329638i</v>
      </c>
      <c r="BD329" s="32">
        <f t="shared" si="305"/>
        <v>-14.8737891663744</v>
      </c>
      <c r="BE329" s="31">
        <f t="shared" si="306"/>
        <v>135.753910829014</v>
      </c>
      <c r="BF329" s="30" t="str">
        <f t="shared" si="307"/>
        <v>0,118595482557107+0,154460140789225i</v>
      </c>
      <c r="BG329" s="68">
        <f t="shared" si="308"/>
        <v>-14.2109933437085</v>
      </c>
      <c r="BH329" s="31">
        <f t="shared" si="309"/>
        <v>52.48271568893</v>
      </c>
      <c r="BI329" s="30" t="str">
        <f t="shared" si="316"/>
        <v>-0,0131882683017503+0,864162371579167i</v>
      </c>
      <c r="BJ329" s="68">
        <f t="shared" si="310"/>
        <v>-1.26708157411522</v>
      </c>
      <c r="BK329" s="31">
        <f t="shared" si="317"/>
        <v>90.8743420004258</v>
      </c>
      <c r="BL329" s="32">
        <f t="shared" si="311"/>
        <v>-14.2109933437085</v>
      </c>
      <c r="BM329" s="31">
        <f t="shared" si="312"/>
        <v>52.48271568893</v>
      </c>
      <c r="BO329">
        <f t="shared" si="313"/>
        <v>0</v>
      </c>
      <c r="BP329">
        <f t="shared" si="314"/>
        <v>0</v>
      </c>
    </row>
    <row r="330" spans="14:68">
      <c r="N330" s="7">
        <v>12</v>
      </c>
      <c r="O330" s="18">
        <f t="shared" si="318"/>
        <v>13182.5673855641</v>
      </c>
      <c r="P330" s="86" t="str">
        <f t="shared" si="265"/>
        <v>75</v>
      </c>
      <c r="Q330" s="4" t="str">
        <f t="shared" si="266"/>
        <v>1+135,286572389539i</v>
      </c>
      <c r="R330" s="4">
        <f t="shared" si="277"/>
        <v>135.290268197347</v>
      </c>
      <c r="S330" s="4">
        <f t="shared" si="278"/>
        <v>1.56340474483341</v>
      </c>
      <c r="T330" s="4" t="str">
        <f t="shared" si="267"/>
        <v>1+1,29875109493958i</v>
      </c>
      <c r="U330" s="4">
        <f t="shared" si="279"/>
        <v>1.63913221144811</v>
      </c>
      <c r="V330" s="4">
        <f t="shared" si="280"/>
        <v>0.914636143224373</v>
      </c>
      <c r="W330" t="str">
        <f t="shared" si="268"/>
        <v>1-0,681264525247323i</v>
      </c>
      <c r="X330" s="4">
        <f t="shared" si="281"/>
        <v>1.2100088236705</v>
      </c>
      <c r="Y330" s="4">
        <f t="shared" si="282"/>
        <v>-0.598040841517827</v>
      </c>
      <c r="Z330" t="str">
        <f t="shared" si="269"/>
        <v>0,998581387078572+0,213782084257872i</v>
      </c>
      <c r="AA330" s="4">
        <f t="shared" si="283"/>
        <v>1.02120887489749</v>
      </c>
      <c r="AB330" s="4">
        <f t="shared" si="284"/>
        <v>0.210902177436379</v>
      </c>
      <c r="AC330" s="67" t="str">
        <f t="shared" si="285"/>
        <v>0,121495583054296-1,0697931111585i</v>
      </c>
      <c r="AD330" s="68">
        <f t="shared" si="286"/>
        <v>0.64165294963038</v>
      </c>
      <c r="AE330" s="31">
        <f t="shared" si="287"/>
        <v>-83.5207236054496</v>
      </c>
      <c r="AF330" s="32" t="str">
        <f t="shared" si="288"/>
        <v>249,914648392112</v>
      </c>
      <c r="AG330" s="32" t="str">
        <f t="shared" si="270"/>
        <v>1+86,9699393932752i</v>
      </c>
      <c r="AH330" s="32">
        <f t="shared" si="289"/>
        <v>86.9756883161609</v>
      </c>
      <c r="AI330" s="32">
        <f t="shared" si="290"/>
        <v>1.55929860768943</v>
      </c>
      <c r="AJ330" s="32" t="str">
        <f t="shared" si="271"/>
        <v>1+1,29875109493958i</v>
      </c>
      <c r="AK330" s="32">
        <f t="shared" si="291"/>
        <v>1.63913221144811</v>
      </c>
      <c r="AL330" s="32">
        <f t="shared" si="292"/>
        <v>0.914636143224373</v>
      </c>
      <c r="AM330" s="32" t="str">
        <f t="shared" si="272"/>
        <v>1-0,131430273360263i</v>
      </c>
      <c r="AN330" s="32">
        <f t="shared" si="293"/>
        <v>1.00859997856214</v>
      </c>
      <c r="AO330" s="32">
        <f t="shared" si="294"/>
        <v>-0.130681249447365</v>
      </c>
      <c r="AP330" s="30" t="str">
        <f t="shared" si="295"/>
        <v>3,39261641702184-3,325071487234i</v>
      </c>
      <c r="AQ330" s="32">
        <f t="shared" si="296"/>
        <v>13.5345355509816</v>
      </c>
      <c r="AR330" s="31">
        <f t="shared" si="297"/>
        <v>-44.4239224791805</v>
      </c>
      <c r="AS330" t="str">
        <f t="shared" si="273"/>
        <v>-0,000100699300699301</v>
      </c>
      <c r="AT330" t="str">
        <f t="shared" si="274"/>
        <v>0,0186115670301609i</v>
      </c>
      <c r="AU330">
        <f t="shared" si="298"/>
        <v>0.0186115670301609</v>
      </c>
      <c r="AV330">
        <f t="shared" si="299"/>
        <v>1.5707963267949</v>
      </c>
      <c r="AW330" t="str">
        <f t="shared" si="275"/>
        <v>1+0,952878094948255i</v>
      </c>
      <c r="AX330">
        <f t="shared" si="300"/>
        <v>1.38129528480778</v>
      </c>
      <c r="AY330">
        <f t="shared" si="301"/>
        <v>0.761273379015208</v>
      </c>
      <c r="AZ330" t="str">
        <f t="shared" si="276"/>
        <v>1+45,5556825393346i</v>
      </c>
      <c r="BA330">
        <f t="shared" si="302"/>
        <v>45.5666567966604</v>
      </c>
      <c r="BB330">
        <f t="shared" si="303"/>
        <v>1.54884869319785</v>
      </c>
      <c r="BC330" s="30" t="str">
        <f t="shared" si="304"/>
        <v>-0,126483135015628+0,125933584887407i</v>
      </c>
      <c r="BD330" s="32">
        <f t="shared" si="305"/>
        <v>-14.9679169935111</v>
      </c>
      <c r="BE330" s="31">
        <f t="shared" si="306"/>
        <v>135.124741551355</v>
      </c>
      <c r="BF330" s="30" t="str">
        <f t="shared" si="307"/>
        <v>0,119355739340783+0,150611160839462i</v>
      </c>
      <c r="BG330" s="68">
        <f t="shared" si="308"/>
        <v>-14.3262640438807</v>
      </c>
      <c r="BH330" s="31">
        <f t="shared" si="309"/>
        <v>51.6040179459058</v>
      </c>
      <c r="BI330" s="30" t="str">
        <f t="shared" si="316"/>
        <v>-0,0103705879361299+0,847809813399863i</v>
      </c>
      <c r="BJ330" s="68">
        <f t="shared" si="310"/>
        <v>-1.43338144252948</v>
      </c>
      <c r="BK330" s="31">
        <f t="shared" si="317"/>
        <v>90.700819072175</v>
      </c>
      <c r="BL330" s="32">
        <f t="shared" si="311"/>
        <v>-14.3262640438807</v>
      </c>
      <c r="BM330" s="31">
        <f t="shared" si="312"/>
        <v>51.6040179459058</v>
      </c>
      <c r="BO330">
        <f t="shared" si="313"/>
        <v>0</v>
      </c>
      <c r="BP330">
        <f t="shared" si="314"/>
        <v>0</v>
      </c>
    </row>
    <row r="331" spans="14:68">
      <c r="N331" s="7">
        <v>13</v>
      </c>
      <c r="O331" s="18">
        <f t="shared" si="318"/>
        <v>13489.6288259166</v>
      </c>
      <c r="P331" s="86" t="str">
        <f t="shared" si="265"/>
        <v>75</v>
      </c>
      <c r="Q331" s="4" t="str">
        <f t="shared" si="266"/>
        <v>1+138,437801475899i</v>
      </c>
      <c r="R331" s="4">
        <f t="shared" si="277"/>
        <v>138.44141315907</v>
      </c>
      <c r="S331" s="4">
        <f t="shared" si="278"/>
        <v>1.56357299185972</v>
      </c>
      <c r="T331" s="4" t="str">
        <f t="shared" si="267"/>
        <v>1+1,32900289416863i</v>
      </c>
      <c r="U331" s="4">
        <f t="shared" si="279"/>
        <v>1.66320434484419</v>
      </c>
      <c r="V331" s="4">
        <f t="shared" si="280"/>
        <v>0.925733013956323</v>
      </c>
      <c r="W331" t="str">
        <f t="shared" si="268"/>
        <v>1-0,697133214575062i</v>
      </c>
      <c r="X331" s="4">
        <f t="shared" si="281"/>
        <v>1.21901383046451</v>
      </c>
      <c r="Y331" s="4">
        <f t="shared" si="282"/>
        <v>-0.608799354925392</v>
      </c>
      <c r="Z331" t="str">
        <f t="shared" si="269"/>
        <v>0,998514529911339+0,218761708696255i</v>
      </c>
      <c r="AA331" s="4">
        <f t="shared" si="283"/>
        <v>1.0221976088975</v>
      </c>
      <c r="AB331" s="4">
        <f t="shared" si="284"/>
        <v>0.215679436463596</v>
      </c>
      <c r="AC331" s="67" t="str">
        <f t="shared" si="285"/>
        <v>0,11633286797808-1,06820434781042i</v>
      </c>
      <c r="AD331" s="68">
        <f t="shared" si="286"/>
        <v>0.624292454651174</v>
      </c>
      <c r="AE331" s="31">
        <f t="shared" si="287"/>
        <v>-83.7846937832181</v>
      </c>
      <c r="AF331" s="32" t="str">
        <f t="shared" si="288"/>
        <v>249,914648392112</v>
      </c>
      <c r="AG331" s="32" t="str">
        <f t="shared" si="270"/>
        <v>1+88,9957295202206i</v>
      </c>
      <c r="AH331" s="32">
        <f t="shared" si="289"/>
        <v>89.0013475900015</v>
      </c>
      <c r="AI331" s="32">
        <f t="shared" si="290"/>
        <v>1.55956030544521</v>
      </c>
      <c r="AJ331" s="32" t="str">
        <f t="shared" si="271"/>
        <v>1+1,32900289416863i</v>
      </c>
      <c r="AK331" s="32">
        <f t="shared" si="291"/>
        <v>1.66320434484419</v>
      </c>
      <c r="AL331" s="32">
        <f t="shared" si="292"/>
        <v>0.925733013956323</v>
      </c>
      <c r="AM331" s="32" t="str">
        <f t="shared" si="272"/>
        <v>1-0,134491677703101i</v>
      </c>
      <c r="AN331" s="32">
        <f t="shared" si="293"/>
        <v>1.00900347440997</v>
      </c>
      <c r="AO331" s="32">
        <f t="shared" si="294"/>
        <v>-0.133689470405739</v>
      </c>
      <c r="AP331" s="30" t="str">
        <f t="shared" si="295"/>
        <v>3,39114969898072-3,27199070964897i</v>
      </c>
      <c r="AQ331" s="32">
        <f t="shared" si="296"/>
        <v>13.4646680503567</v>
      </c>
      <c r="AR331" s="31">
        <f t="shared" si="297"/>
        <v>-43.9754711621091</v>
      </c>
      <c r="AS331" t="str">
        <f t="shared" si="273"/>
        <v>-0,000100699300699301</v>
      </c>
      <c r="AT331" t="str">
        <f t="shared" si="274"/>
        <v>0,0190450861173272i</v>
      </c>
      <c r="AU331">
        <f t="shared" si="298"/>
        <v>0.0190450861173272</v>
      </c>
      <c r="AV331">
        <f t="shared" si="299"/>
        <v>1.5707963267949</v>
      </c>
      <c r="AW331" t="str">
        <f t="shared" si="275"/>
        <v>1+0,975073477058387i</v>
      </c>
      <c r="AX331">
        <f t="shared" si="300"/>
        <v>1.39669906768163</v>
      </c>
      <c r="AY331">
        <f t="shared" si="301"/>
        <v>0.772778278649524</v>
      </c>
      <c r="AZ331" t="str">
        <f t="shared" si="276"/>
        <v>1+46,6168107010679i</v>
      </c>
      <c r="BA331">
        <f t="shared" si="302"/>
        <v>46.6275352119239</v>
      </c>
      <c r="BB331">
        <f t="shared" si="303"/>
        <v>1.54934812734695</v>
      </c>
      <c r="BC331" s="30" t="str">
        <f t="shared" si="304"/>
        <v>-0,123708628929331+0,125912419353462i</v>
      </c>
      <c r="BD331" s="32">
        <f t="shared" si="305"/>
        <v>-15.0643374133425</v>
      </c>
      <c r="BE331" s="31">
        <f t="shared" si="306"/>
        <v>134.494174827475</v>
      </c>
      <c r="BF331" s="30" t="str">
        <f t="shared" si="307"/>
        <v>0,120108814199712+0,146793848141424i</v>
      </c>
      <c r="BG331" s="68">
        <f t="shared" si="308"/>
        <v>-14.4400449586913</v>
      </c>
      <c r="BH331" s="31">
        <f t="shared" si="309"/>
        <v>50.7094810442573</v>
      </c>
      <c r="BI331" s="30" t="str">
        <f t="shared" si="316"/>
        <v>-0,00753021340106558+0,83176134754861i</v>
      </c>
      <c r="BJ331" s="68">
        <f t="shared" si="310"/>
        <v>-1.59966936298576</v>
      </c>
      <c r="BK331" s="31">
        <f t="shared" si="317"/>
        <v>90.5187036653663</v>
      </c>
      <c r="BL331" s="32">
        <f t="shared" si="311"/>
        <v>-14.4400449586913</v>
      </c>
      <c r="BM331" s="31">
        <f t="shared" si="312"/>
        <v>50.7094810442573</v>
      </c>
      <c r="BO331">
        <f t="shared" si="313"/>
        <v>0</v>
      </c>
      <c r="BP331">
        <f t="shared" si="314"/>
        <v>0</v>
      </c>
    </row>
    <row r="332" spans="14:68">
      <c r="N332" s="7">
        <v>14</v>
      </c>
      <c r="O332" s="18">
        <f t="shared" si="318"/>
        <v>13803.8426460288</v>
      </c>
      <c r="P332" s="86" t="str">
        <f t="shared" si="265"/>
        <v>75</v>
      </c>
      <c r="Q332" s="4" t="str">
        <f t="shared" si="266"/>
        <v>1+141,66243211704i</v>
      </c>
      <c r="R332" s="4">
        <f t="shared" si="277"/>
        <v>141.665961590337</v>
      </c>
      <c r="S332" s="4">
        <f t="shared" si="278"/>
        <v>1.5637374095113</v>
      </c>
      <c r="T332" s="4" t="str">
        <f t="shared" si="267"/>
        <v>1+1,35995934832359i</v>
      </c>
      <c r="U332" s="4">
        <f t="shared" si="279"/>
        <v>1.68804307678824</v>
      </c>
      <c r="V332" s="4">
        <f t="shared" si="280"/>
        <v>0.936759341106375</v>
      </c>
      <c r="W332" t="str">
        <f t="shared" si="268"/>
        <v>1-0,71337153316081i</v>
      </c>
      <c r="X332" s="4">
        <f t="shared" si="281"/>
        <v>1.22837247784384</v>
      </c>
      <c r="Y332" s="4">
        <f t="shared" si="282"/>
        <v>-0.619643888056322</v>
      </c>
      <c r="Z332" t="str">
        <f t="shared" si="269"/>
        <v>0,998444521862887+0,223857323488239i</v>
      </c>
      <c r="AA332" s="4">
        <f t="shared" si="283"/>
        <v>1.02323192117786</v>
      </c>
      <c r="AB332" s="4">
        <f t="shared" si="284"/>
        <v>0.220558641057568</v>
      </c>
      <c r="AC332" s="67" t="str">
        <f t="shared" si="285"/>
        <v>0,110964374175778-1,06708680047185i</v>
      </c>
      <c r="AD332" s="68">
        <f t="shared" si="286"/>
        <v>0.610705437521836</v>
      </c>
      <c r="AE332" s="31">
        <f t="shared" si="287"/>
        <v>-84.0632560213105</v>
      </c>
      <c r="AF332" s="32" t="str">
        <f t="shared" si="288"/>
        <v>249,914648392112</v>
      </c>
      <c r="AG332" s="32" t="str">
        <f t="shared" si="270"/>
        <v>1+91,0687063609544i</v>
      </c>
      <c r="AH332" s="32">
        <f t="shared" si="289"/>
        <v>91.0741965556531</v>
      </c>
      <c r="AI332" s="32">
        <f t="shared" si="290"/>
        <v>1.55981604771999</v>
      </c>
      <c r="AJ332" s="32" t="str">
        <f t="shared" si="271"/>
        <v>1+1,35995934832359i</v>
      </c>
      <c r="AK332" s="32">
        <f t="shared" si="291"/>
        <v>1.68804307678824</v>
      </c>
      <c r="AL332" s="32">
        <f t="shared" si="292"/>
        <v>0.936759341106375</v>
      </c>
      <c r="AM332" s="32" t="str">
        <f t="shared" si="272"/>
        <v>1-0,137624391313664i</v>
      </c>
      <c r="AN332" s="32">
        <f t="shared" si="293"/>
        <v>1.00942581356158</v>
      </c>
      <c r="AO332" s="32">
        <f t="shared" si="294"/>
        <v>-0.136765243619743</v>
      </c>
      <c r="AP332" s="30" t="str">
        <f t="shared" si="295"/>
        <v>3,38974897783327-3,22064330112019i</v>
      </c>
      <c r="AQ332" s="32">
        <f t="shared" si="296"/>
        <v>13.3970859084149</v>
      </c>
      <c r="AR332" s="31">
        <f t="shared" si="297"/>
        <v>-43.5345909297706</v>
      </c>
      <c r="AS332" t="str">
        <f t="shared" si="273"/>
        <v>-0,000100699300699301</v>
      </c>
      <c r="AT332" t="str">
        <f t="shared" si="274"/>
        <v>0,0194887031612443i</v>
      </c>
      <c r="AU332">
        <f t="shared" si="298"/>
        <v>0.0194887031612443</v>
      </c>
      <c r="AV332">
        <f t="shared" si="299"/>
        <v>1.5707963267949</v>
      </c>
      <c r="AW332" t="str">
        <f t="shared" si="275"/>
        <v>1+0,997785856032667i</v>
      </c>
      <c r="AX332">
        <f t="shared" si="300"/>
        <v>1.41264879375549</v>
      </c>
      <c r="AY332">
        <f t="shared" si="301"/>
        <v>0.784289864900848</v>
      </c>
      <c r="AZ332" t="str">
        <f t="shared" si="276"/>
        <v>1+47,7026557128809i</v>
      </c>
      <c r="BA332">
        <f t="shared" si="302"/>
        <v>47.7131361583123</v>
      </c>
      <c r="BB332">
        <f t="shared" si="303"/>
        <v>1.54983620332776</v>
      </c>
      <c r="BC332" s="30" t="str">
        <f t="shared" si="304"/>
        <v>-0,120930896977244+0,125830198671196i</v>
      </c>
      <c r="BD332" s="32">
        <f t="shared" si="305"/>
        <v>-15.1630545136673</v>
      </c>
      <c r="BE332" s="31">
        <f t="shared" si="306"/>
        <v>133.862574213556</v>
      </c>
      <c r="BF332" s="30" t="str">
        <f t="shared" si="307"/>
        <v>0,120852722801188+0,143006433181601i</v>
      </c>
      <c r="BG332" s="68">
        <f t="shared" si="308"/>
        <v>-14.5523490761455</v>
      </c>
      <c r="BH332" s="31">
        <f t="shared" si="309"/>
        <v>49.7993181922458</v>
      </c>
      <c r="BI332" s="30" t="str">
        <f t="shared" si="316"/>
        <v>-0,00467119798806331+0,816008070574461i</v>
      </c>
      <c r="BJ332" s="68">
        <f t="shared" si="310"/>
        <v>-1.7659686052524</v>
      </c>
      <c r="BK332" s="31">
        <f t="shared" si="317"/>
        <v>90.3279832837856</v>
      </c>
      <c r="BL332" s="32">
        <f t="shared" si="311"/>
        <v>-14.5523490761455</v>
      </c>
      <c r="BM332" s="31">
        <f t="shared" si="312"/>
        <v>49.7993181922458</v>
      </c>
      <c r="BO332">
        <f t="shared" si="313"/>
        <v>0</v>
      </c>
      <c r="BP332">
        <f t="shared" si="314"/>
        <v>0</v>
      </c>
    </row>
    <row r="333" spans="14:68">
      <c r="N333" s="7">
        <v>15</v>
      </c>
      <c r="O333" s="18">
        <f t="shared" si="318"/>
        <v>14125.3754462276</v>
      </c>
      <c r="P333" s="86" t="str">
        <f t="shared" si="265"/>
        <v>75</v>
      </c>
      <c r="Q333" s="4" t="str">
        <f t="shared" si="266"/>
        <v>1+144,962174054816i</v>
      </c>
      <c r="R333" s="4">
        <f t="shared" si="277"/>
        <v>144.965623189426</v>
      </c>
      <c r="S333" s="4">
        <f t="shared" si="278"/>
        <v>1.563898084929</v>
      </c>
      <c r="T333" s="4" t="str">
        <f t="shared" si="267"/>
        <v>1+1,39163687092624i</v>
      </c>
      <c r="U333" s="4">
        <f t="shared" si="279"/>
        <v>1.7136665896613</v>
      </c>
      <c r="V333" s="4">
        <f t="shared" si="280"/>
        <v>0.947710246701656</v>
      </c>
      <c r="W333" t="str">
        <f t="shared" si="268"/>
        <v>1-0,72998809077604i</v>
      </c>
      <c r="X333" s="4">
        <f t="shared" si="281"/>
        <v>1.23809636647349</v>
      </c>
      <c r="Y333" s="4">
        <f t="shared" si="282"/>
        <v>-0.630569988090072</v>
      </c>
      <c r="Z333" t="str">
        <f t="shared" si="269"/>
        <v>0,99837121443676+0,229071630396243i</v>
      </c>
      <c r="AA333" s="4">
        <f t="shared" si="283"/>
        <v>1.02431386482285</v>
      </c>
      <c r="AB333" s="4">
        <f t="shared" si="284"/>
        <v>0.225541538822286</v>
      </c>
      <c r="AC333" s="67" t="str">
        <f t="shared" si="285"/>
        <v>0,105381491686116-1,06643370313516i</v>
      </c>
      <c r="AD333" s="68">
        <f t="shared" si="286"/>
        <v>0.600879279265676</v>
      </c>
      <c r="AE333" s="31">
        <f t="shared" si="287"/>
        <v>-84.3565398022955</v>
      </c>
      <c r="AF333" s="32" t="str">
        <f t="shared" si="288"/>
        <v>249,914648392112</v>
      </c>
      <c r="AG333" s="32" t="str">
        <f t="shared" si="270"/>
        <v>1+93,1899690352391i</v>
      </c>
      <c r="AH333" s="32">
        <f t="shared" si="289"/>
        <v>93.1953342651274</v>
      </c>
      <c r="AI333" s="32">
        <f t="shared" si="290"/>
        <v>1.56006596997783</v>
      </c>
      <c r="AJ333" s="32" t="str">
        <f t="shared" si="271"/>
        <v>1+1,39163687092624i</v>
      </c>
      <c r="AK333" s="32">
        <f t="shared" si="291"/>
        <v>1.7136665896613</v>
      </c>
      <c r="AL333" s="32">
        <f t="shared" si="292"/>
        <v>0.947710246701656</v>
      </c>
      <c r="AM333" s="32" t="str">
        <f t="shared" si="272"/>
        <v>1-0,140830075198178i</v>
      </c>
      <c r="AN333" s="32">
        <f t="shared" si="293"/>
        <v>1.00986786763434</v>
      </c>
      <c r="AO333" s="32">
        <f t="shared" si="294"/>
        <v>-0.139909966998447</v>
      </c>
      <c r="AP333" s="30" t="str">
        <f t="shared" si="295"/>
        <v>3,38841128466326-3,17100213558077i</v>
      </c>
      <c r="AQ333" s="32">
        <f t="shared" si="296"/>
        <v>13.3317685113366</v>
      </c>
      <c r="AR333" s="31">
        <f t="shared" si="297"/>
        <v>-43.1016491252313</v>
      </c>
      <c r="AS333" t="str">
        <f t="shared" si="273"/>
        <v>-0,000100699300699301</v>
      </c>
      <c r="AT333" t="str">
        <f t="shared" si="274"/>
        <v>0,0199426533735412i</v>
      </c>
      <c r="AU333">
        <f t="shared" si="298"/>
        <v>0.0199426533735412</v>
      </c>
      <c r="AV333">
        <f t="shared" si="299"/>
        <v>1.5707963267949</v>
      </c>
      <c r="AW333" t="str">
        <f t="shared" si="275"/>
        <v>1+1,02102727427509i</v>
      </c>
      <c r="AX333">
        <f t="shared" si="300"/>
        <v>1.42915943645684</v>
      </c>
      <c r="AY333">
        <f t="shared" si="301"/>
        <v>0.795802038629047</v>
      </c>
      <c r="AZ333" t="str">
        <f t="shared" si="276"/>
        <v>1+48,8137933041728i</v>
      </c>
      <c r="BA333">
        <f t="shared" si="302"/>
        <v>48.8240352361673</v>
      </c>
      <c r="BB333">
        <f t="shared" si="303"/>
        <v>1.55031317899397</v>
      </c>
      <c r="BC333" s="30" t="str">
        <f t="shared" si="304"/>
        <v>-0,118152881515521+0,125686758023908i</v>
      </c>
      <c r="BD333" s="32">
        <f t="shared" si="305"/>
        <v>-15.2640699396444</v>
      </c>
      <c r="BE333" s="31">
        <f t="shared" si="306"/>
        <v>133.230303938513</v>
      </c>
      <c r="BF333" s="30" t="str">
        <f t="shared" si="307"/>
        <v>0,12158546789337+0,139247273016438i</v>
      </c>
      <c r="BG333" s="68">
        <f t="shared" si="308"/>
        <v>-14.6631906603788</v>
      </c>
      <c r="BH333" s="31">
        <f t="shared" si="309"/>
        <v>48.8737641362174</v>
      </c>
      <c r="BI333" s="30" t="str">
        <f t="shared" si="316"/>
        <v>-0,00179757893463678+0,800541468831689i</v>
      </c>
      <c r="BJ333" s="68">
        <f t="shared" si="310"/>
        <v>-1.93230142830784</v>
      </c>
      <c r="BK333" s="31">
        <f t="shared" si="317"/>
        <v>90.1286548132815</v>
      </c>
      <c r="BL333" s="32">
        <f t="shared" si="311"/>
        <v>-14.6631906603788</v>
      </c>
      <c r="BM333" s="31">
        <f t="shared" si="312"/>
        <v>48.8737641362174</v>
      </c>
      <c r="BO333">
        <f t="shared" si="313"/>
        <v>0</v>
      </c>
      <c r="BP333">
        <f t="shared" si="314"/>
        <v>0</v>
      </c>
    </row>
    <row r="334" spans="14:68">
      <c r="N334" s="7">
        <v>16</v>
      </c>
      <c r="O334" s="18">
        <f t="shared" si="318"/>
        <v>14454.3977074593</v>
      </c>
      <c r="P334" s="86" t="str">
        <f t="shared" si="265"/>
        <v>75</v>
      </c>
      <c r="Q334" s="4" t="str">
        <f t="shared" si="266"/>
        <v>1+148,338776856076i</v>
      </c>
      <c r="R334" s="4">
        <f t="shared" si="277"/>
        <v>148.342147480602</v>
      </c>
      <c r="S334" s="4">
        <f t="shared" si="278"/>
        <v>1.56405510327185</v>
      </c>
      <c r="T334" s="4" t="str">
        <f t="shared" si="267"/>
        <v>1+1,42405225781833i</v>
      </c>
      <c r="U334" s="4">
        <f t="shared" si="279"/>
        <v>1.7400933403118</v>
      </c>
      <c r="V334" s="4">
        <f t="shared" si="280"/>
        <v>0.958581031257365</v>
      </c>
      <c r="W334" t="str">
        <f t="shared" si="268"/>
        <v>1-0,746991697739528i</v>
      </c>
      <c r="X334" s="4">
        <f t="shared" si="281"/>
        <v>1.2481973387617</v>
      </c>
      <c r="Y334" s="4">
        <f t="shared" si="282"/>
        <v>-0.641573013591686</v>
      </c>
      <c r="Z334" t="str">
        <f t="shared" si="269"/>
        <v>0,998294452138078+0,234407394114802i</v>
      </c>
      <c r="AA334" s="4">
        <f t="shared" si="283"/>
        <v>1.02544558099655</v>
      </c>
      <c r="AB334" s="4">
        <f t="shared" si="284"/>
        <v>0.230629877867423</v>
      </c>
      <c r="AC334" s="67" t="str">
        <f t="shared" si="285"/>
        <v>0,0995753986498411-1,06623816287071i</v>
      </c>
      <c r="AD334" s="68">
        <f t="shared" si="286"/>
        <v>0.594797617658081</v>
      </c>
      <c r="AE334" s="31">
        <f t="shared" si="287"/>
        <v>-84.6646534907439</v>
      </c>
      <c r="AF334" s="32" t="str">
        <f t="shared" si="288"/>
        <v>249,914648392112</v>
      </c>
      <c r="AG334" s="32" t="str">
        <f t="shared" si="270"/>
        <v>1+95,3606422646205i</v>
      </c>
      <c r="AH334" s="32">
        <f t="shared" si="289"/>
        <v>95.3658853737589</v>
      </c>
      <c r="AI334" s="32">
        <f t="shared" si="290"/>
        <v>1.56031020460586</v>
      </c>
      <c r="AJ334" s="32" t="str">
        <f t="shared" si="271"/>
        <v>1+1,42405225781833i</v>
      </c>
      <c r="AK334" s="32">
        <f t="shared" si="291"/>
        <v>1.7400933403118</v>
      </c>
      <c r="AL334" s="32">
        <f t="shared" si="292"/>
        <v>0.958581031257365</v>
      </c>
      <c r="AM334" s="32" t="str">
        <f t="shared" si="272"/>
        <v>1-0,144110429052667i</v>
      </c>
      <c r="AN334" s="32">
        <f t="shared" si="293"/>
        <v>1.01033054777223</v>
      </c>
      <c r="AO334" s="32">
        <f t="shared" si="294"/>
        <v>-0.143125058992661</v>
      </c>
      <c r="AP334" s="30" t="str">
        <f t="shared" si="295"/>
        <v>3,38713378405164-3,1230409850307i</v>
      </c>
      <c r="AQ334" s="32">
        <f t="shared" si="296"/>
        <v>13.2686939294873</v>
      </c>
      <c r="AR334" s="31">
        <f t="shared" si="297"/>
        <v>-42.677003865605</v>
      </c>
      <c r="AS334" t="str">
        <f t="shared" si="273"/>
        <v>-0,000100699300699301</v>
      </c>
      <c r="AT334" t="str">
        <f t="shared" si="274"/>
        <v>0,0204071774446288i</v>
      </c>
      <c r="AU334">
        <f t="shared" si="298"/>
        <v>0.0204071774446288</v>
      </c>
      <c r="AV334">
        <f t="shared" si="299"/>
        <v>1.5707963267949</v>
      </c>
      <c r="AW334" t="str">
        <f t="shared" si="275"/>
        <v>1+1,04481005469322i</v>
      </c>
      <c r="AX334">
        <f t="shared" si="300"/>
        <v>1.44624619286899</v>
      </c>
      <c r="AY334">
        <f t="shared" si="301"/>
        <v>0.807308699137928</v>
      </c>
      <c r="AZ334" t="str">
        <f t="shared" si="276"/>
        <v>1+49,9508126148012i</v>
      </c>
      <c r="BA334">
        <f t="shared" si="302"/>
        <v>49.9608214592092</v>
      </c>
      <c r="BB334">
        <f t="shared" si="303"/>
        <v>1.55077930637575</v>
      </c>
      <c r="BC334" s="30" t="str">
        <f t="shared" si="304"/>
        <v>-0,115377526101442+0,125482103452954i</v>
      </c>
      <c r="BD334" s="32">
        <f t="shared" si="305"/>
        <v>-15.3673828880345</v>
      </c>
      <c r="BE334" s="31">
        <f t="shared" si="306"/>
        <v>132.597727986756</v>
      </c>
      <c r="BF334" s="30" t="str">
        <f t="shared" si="307"/>
        <v>0,122305044302047+0,135514851941717i</v>
      </c>
      <c r="BG334" s="68">
        <f t="shared" si="308"/>
        <v>-14.7725852703764</v>
      </c>
      <c r="BH334" s="31">
        <f t="shared" si="309"/>
        <v>47.9330744960117</v>
      </c>
      <c r="BI334" s="30" t="str">
        <f t="shared" si="316"/>
        <v>0,00108663539294357+0,785353414665616i</v>
      </c>
      <c r="BJ334" s="68">
        <f t="shared" si="310"/>
        <v>-2.09868895854723</v>
      </c>
      <c r="BK334" s="31">
        <f t="shared" si="317"/>
        <v>89.9207241211508</v>
      </c>
      <c r="BL334" s="32">
        <f t="shared" si="311"/>
        <v>-14.7725852703764</v>
      </c>
      <c r="BM334" s="31">
        <f t="shared" si="312"/>
        <v>47.9330744960117</v>
      </c>
      <c r="BO334">
        <f t="shared" si="313"/>
        <v>0</v>
      </c>
      <c r="BP334">
        <f t="shared" si="314"/>
        <v>0</v>
      </c>
    </row>
    <row r="335" spans="14:68">
      <c r="N335" s="7">
        <v>17</v>
      </c>
      <c r="O335" s="18">
        <f t="shared" si="318"/>
        <v>14791.0838816821</v>
      </c>
      <c r="P335" s="86" t="str">
        <f t="shared" si="265"/>
        <v>75</v>
      </c>
      <c r="Q335" s="4" t="str">
        <f t="shared" si="266"/>
        <v>1+151,794030840321i</v>
      </c>
      <c r="R335" s="4">
        <f t="shared" si="277"/>
        <v>151.79732474175</v>
      </c>
      <c r="S335" s="4">
        <f t="shared" si="278"/>
        <v>1.56420854776205</v>
      </c>
      <c r="T335" s="4" t="str">
        <f t="shared" si="267"/>
        <v>1+1,45722269606709i</v>
      </c>
      <c r="U335" s="4">
        <f t="shared" si="279"/>
        <v>1.76734206817272</v>
      </c>
      <c r="V335" s="4">
        <f t="shared" si="280"/>
        <v>0.969367181628116</v>
      </c>
      <c r="W335" t="str">
        <f t="shared" si="268"/>
        <v>1-0,764391369588762i</v>
      </c>
      <c r="X335" s="4">
        <f t="shared" si="281"/>
        <v>1.2586874774549</v>
      </c>
      <c r="Y335" s="4">
        <f t="shared" si="282"/>
        <v>-0.65264814205253</v>
      </c>
      <c r="Z335" t="str">
        <f t="shared" si="269"/>
        <v>0,998214072143715+0,23986744373647i</v>
      </c>
      <c r="AA335" s="4">
        <f t="shared" si="283"/>
        <v>1.02662930232407</v>
      </c>
      <c r="AB335" s="4">
        <f t="shared" si="284"/>
        <v>0.235825404465243</v>
      </c>
      <c r="AC335" s="67" t="str">
        <f t="shared" si="285"/>
        <v>0,0935370626158192-1,06649313710483i</v>
      </c>
      <c r="AD335" s="68">
        <f t="shared" si="286"/>
        <v>0.592440329248617</v>
      </c>
      <c r="AE335" s="31">
        <f t="shared" si="287"/>
        <v>-84.9876841837593</v>
      </c>
      <c r="AF335" s="32" t="str">
        <f t="shared" si="288"/>
        <v>249,914648392112</v>
      </c>
      <c r="AG335" s="32" t="str">
        <f t="shared" si="270"/>
        <v>1+97,581876968778i</v>
      </c>
      <c r="AH335" s="32">
        <f t="shared" si="289"/>
        <v>97.5870007365209</v>
      </c>
      <c r="AI335" s="32">
        <f t="shared" si="290"/>
        <v>1.5605488809839</v>
      </c>
      <c r="AJ335" s="32" t="str">
        <f t="shared" si="271"/>
        <v>1+1,45722269606709i</v>
      </c>
      <c r="AK335" s="32">
        <f t="shared" si="291"/>
        <v>1.76734206817272</v>
      </c>
      <c r="AL335" s="32">
        <f t="shared" si="292"/>
        <v>0.969367181628116</v>
      </c>
      <c r="AM335" s="32" t="str">
        <f t="shared" si="272"/>
        <v>1-0,147467192164166i</v>
      </c>
      <c r="AN335" s="32">
        <f t="shared" si="293"/>
        <v>1.01081480636405</v>
      </c>
      <c r="AO335" s="32">
        <f t="shared" si="294"/>
        <v>-0.1464119582772</v>
      </c>
      <c r="AP335" s="30" t="str">
        <f t="shared" si="295"/>
        <v>3,38591376807928-3,07673450607089i</v>
      </c>
      <c r="AQ335" s="32">
        <f t="shared" si="296"/>
        <v>13.2078390375235</v>
      </c>
      <c r="AR335" s="31">
        <f t="shared" si="297"/>
        <v>-42.2610035779872</v>
      </c>
      <c r="AS335" t="str">
        <f t="shared" si="273"/>
        <v>-0,000100699300699301</v>
      </c>
      <c r="AT335" t="str">
        <f t="shared" si="274"/>
        <v>0,0208825216713185i</v>
      </c>
      <c r="AU335">
        <f t="shared" si="298"/>
        <v>0.0208825216713185</v>
      </c>
      <c r="AV335">
        <f t="shared" si="299"/>
        <v>1.5707963267949</v>
      </c>
      <c r="AW335" t="str">
        <f t="shared" si="275"/>
        <v>1+1,06914680723204i</v>
      </c>
      <c r="AX335">
        <f t="shared" si="300"/>
        <v>1.4639244841912</v>
      </c>
      <c r="AY335">
        <f t="shared" si="301"/>
        <v>0.818803760326488</v>
      </c>
      <c r="AZ335" t="str">
        <f t="shared" si="276"/>
        <v>1+51,1143165074551i</v>
      </c>
      <c r="BA335">
        <f t="shared" si="302"/>
        <v>51.1240975668451</v>
      </c>
      <c r="BB335">
        <f t="shared" si="303"/>
        <v>1.55123483180934</v>
      </c>
      <c r="BC335" s="30" t="str">
        <f t="shared" si="304"/>
        <v>-0,112607763029899+0,125216411383054i</v>
      </c>
      <c r="BD335" s="32">
        <f t="shared" si="305"/>
        <v>-15.4729901117559</v>
      </c>
      <c r="BE335" s="31">
        <f t="shared" si="306"/>
        <v>131.965209180212</v>
      </c>
      <c r="BF335" s="30" t="str">
        <f t="shared" si="307"/>
        <v>0,123009444011367+0,131807781768179i</v>
      </c>
      <c r="BG335" s="68">
        <f t="shared" si="308"/>
        <v>-14.8805497825073</v>
      </c>
      <c r="BH335" s="31">
        <f t="shared" si="309"/>
        <v>46.9775249964531</v>
      </c>
      <c r="BI335" s="30" t="str">
        <f t="shared" si="316"/>
        <v>0,00397747839306606+0,770436161456906i</v>
      </c>
      <c r="BJ335" s="68">
        <f t="shared" si="310"/>
        <v>-2.26515107423233</v>
      </c>
      <c r="BK335" s="31">
        <f t="shared" si="317"/>
        <v>89.7042056022251</v>
      </c>
      <c r="BL335" s="32">
        <f t="shared" si="311"/>
        <v>-14.8805497825073</v>
      </c>
      <c r="BM335" s="31">
        <f t="shared" si="312"/>
        <v>46.9775249964531</v>
      </c>
      <c r="BO335">
        <f t="shared" si="313"/>
        <v>0</v>
      </c>
      <c r="BP335">
        <f t="shared" si="314"/>
        <v>0</v>
      </c>
    </row>
    <row r="336" spans="14:68">
      <c r="N336" s="7">
        <v>18</v>
      </c>
      <c r="O336" s="18">
        <f t="shared" si="318"/>
        <v>15135.6124843621</v>
      </c>
      <c r="P336" s="86" t="str">
        <f t="shared" si="265"/>
        <v>75</v>
      </c>
      <c r="Q336" s="4" t="str">
        <f t="shared" si="266"/>
        <v>1+155,329768028949i</v>
      </c>
      <c r="R336" s="4">
        <f t="shared" si="277"/>
        <v>155.332986953599</v>
      </c>
      <c r="S336" s="4">
        <f t="shared" si="278"/>
        <v>1.564358499729</v>
      </c>
      <c r="T336" s="4" t="str">
        <f t="shared" si="267"/>
        <v>1+1,49116577307792i</v>
      </c>
      <c r="U336" s="4">
        <f t="shared" si="279"/>
        <v>1.79543180399565</v>
      </c>
      <c r="V336" s="4">
        <f t="shared" si="280"/>
        <v>0.980064377871847</v>
      </c>
      <c r="W336" t="str">
        <f t="shared" si="268"/>
        <v>1-0,782196331860068i</v>
      </c>
      <c r="X336" s="4">
        <f t="shared" si="281"/>
        <v>1.26957910410315</v>
      </c>
      <c r="Y336" s="4">
        <f t="shared" si="282"/>
        <v>-0.663790378408834</v>
      </c>
      <c r="Z336" t="str">
        <f t="shared" si="269"/>
        <v>0,998129903956924+0,245454674251827i</v>
      </c>
      <c r="AA336" s="4">
        <f t="shared" si="283"/>
        <v>1.02786735636712</v>
      </c>
      <c r="AB336" s="4">
        <f t="shared" si="284"/>
        <v>0.241129860540476</v>
      </c>
      <c r="AC336" s="67" t="str">
        <f t="shared" si="285"/>
        <v>0,0872572428825508-1,06719141022431i</v>
      </c>
      <c r="AD336" s="68">
        <f t="shared" si="286"/>
        <v>0.593783517955043</v>
      </c>
      <c r="AE336" s="31">
        <f t="shared" si="287"/>
        <v>-85.3256976644829</v>
      </c>
      <c r="AF336" s="32" t="str">
        <f t="shared" si="288"/>
        <v>249,914648392112</v>
      </c>
      <c r="AG336" s="32" t="str">
        <f t="shared" si="270"/>
        <v>1+99,8548508757532i</v>
      </c>
      <c r="AH336" s="32">
        <f t="shared" si="289"/>
        <v>99.8598580182193</v>
      </c>
      <c r="AI336" s="32">
        <f t="shared" si="290"/>
        <v>1.56078212555248</v>
      </c>
      <c r="AJ336" s="32" t="str">
        <f t="shared" si="271"/>
        <v>1+1,49116577307792i</v>
      </c>
      <c r="AK336" s="32">
        <f t="shared" si="291"/>
        <v>1.79543180399565</v>
      </c>
      <c r="AL336" s="32">
        <f t="shared" si="292"/>
        <v>0.980064377871847</v>
      </c>
      <c r="AM336" s="32" t="str">
        <f t="shared" si="272"/>
        <v>1-0,150902144332911i</v>
      </c>
      <c r="AN336" s="32">
        <f t="shared" si="293"/>
        <v>1.01132163882925</v>
      </c>
      <c r="AO336" s="32">
        <f t="shared" si="294"/>
        <v>-0.149772123376152</v>
      </c>
      <c r="AP336" s="30" t="str">
        <f t="shared" si="295"/>
        <v>3,38474865059852-3,03205822687708i</v>
      </c>
      <c r="AQ336" s="32">
        <f t="shared" si="296"/>
        <v>13.1491796377953</v>
      </c>
      <c r="AR336" s="31">
        <f t="shared" si="297"/>
        <v>-41.8539865886096</v>
      </c>
      <c r="AS336" t="str">
        <f t="shared" si="273"/>
        <v>-0,000100699300699301</v>
      </c>
      <c r="AT336" t="str">
        <f t="shared" si="274"/>
        <v>0,0213689380874112i</v>
      </c>
      <c r="AU336">
        <f t="shared" si="298"/>
        <v>0.0213689380874112</v>
      </c>
      <c r="AV336">
        <f t="shared" si="299"/>
        <v>1.5707963267949</v>
      </c>
      <c r="AW336" t="str">
        <f t="shared" si="275"/>
        <v>1+1,09405043555989i</v>
      </c>
      <c r="AX336">
        <f t="shared" si="300"/>
        <v>1.48220995663529</v>
      </c>
      <c r="AY336">
        <f t="shared" si="301"/>
        <v>0.830281166745942</v>
      </c>
      <c r="AZ336" t="str">
        <f t="shared" si="276"/>
        <v>1+52,3049218872993i</v>
      </c>
      <c r="BA336">
        <f t="shared" si="302"/>
        <v>52.3144803437488</v>
      </c>
      <c r="BB336">
        <f t="shared" si="303"/>
        <v>1.55167999606373</v>
      </c>
      <c r="BC336" s="30" t="str">
        <f t="shared" si="304"/>
        <v>-0,10984650097106+0,124890027060005i</v>
      </c>
      <c r="BD336" s="32">
        <f t="shared" si="305"/>
        <v>-15.5808859347189</v>
      </c>
      <c r="BE336" s="31">
        <f t="shared" si="306"/>
        <v>131.333108265588</v>
      </c>
      <c r="BF336" s="30" t="str">
        <f t="shared" si="307"/>
        <v>0,123696661286089+0,128124801704295i</v>
      </c>
      <c r="BG336" s="68">
        <f t="shared" si="308"/>
        <v>-14.9871024167638</v>
      </c>
      <c r="BH336" s="31">
        <f t="shared" si="309"/>
        <v>46.0074106011047</v>
      </c>
      <c r="BI336" s="30" t="str">
        <f t="shared" si="316"/>
        <v>0,00687103806742495+0,755782337527528i</v>
      </c>
      <c r="BJ336" s="68">
        <f t="shared" si="310"/>
        <v>-2.43170629692362</v>
      </c>
      <c r="BK336" s="31">
        <f t="shared" si="317"/>
        <v>89.4791216769779</v>
      </c>
      <c r="BL336" s="32">
        <f t="shared" si="311"/>
        <v>-14.9871024167638</v>
      </c>
      <c r="BM336" s="31">
        <f t="shared" si="312"/>
        <v>46.0074106011047</v>
      </c>
      <c r="BO336">
        <f t="shared" si="313"/>
        <v>0</v>
      </c>
      <c r="BP336">
        <f t="shared" si="314"/>
        <v>0</v>
      </c>
    </row>
    <row r="337" spans="14:68">
      <c r="N337" s="7">
        <v>19</v>
      </c>
      <c r="O337" s="18">
        <f t="shared" si="318"/>
        <v>15488.1661891249</v>
      </c>
      <c r="P337" s="86" t="str">
        <f t="shared" si="265"/>
        <v>75</v>
      </c>
      <c r="Q337" s="4" t="str">
        <f t="shared" si="266"/>
        <v>1+158,94786311662i</v>
      </c>
      <c r="R337" s="4">
        <f t="shared" si="277"/>
        <v>158.951008771067</v>
      </c>
      <c r="S337" s="4">
        <f t="shared" si="278"/>
        <v>1.56450503865222</v>
      </c>
      <c r="T337" s="4" t="str">
        <f t="shared" si="267"/>
        <v>1+1,52589948591955i</v>
      </c>
      <c r="U337" s="4">
        <f t="shared" si="279"/>
        <v>1.82438187919348</v>
      </c>
      <c r="V337" s="4">
        <f t="shared" si="280"/>
        <v>0.990668499120135</v>
      </c>
      <c r="W337" t="str">
        <f t="shared" si="268"/>
        <v>1-0,800416024980121i</v>
      </c>
      <c r="X337" s="4">
        <f t="shared" si="281"/>
        <v>1.2808847774273</v>
      </c>
      <c r="Y337" s="4">
        <f t="shared" si="282"/>
        <v>-0.674994564516622</v>
      </c>
      <c r="Z337" t="str">
        <f t="shared" si="269"/>
        <v>0,998041769045698+0,251172048084451i</v>
      </c>
      <c r="AA337" s="4">
        <f t="shared" si="283"/>
        <v>1.02916216919337</v>
      </c>
      <c r="AB337" s="4">
        <f t="shared" si="284"/>
        <v>0.246544980986956</v>
      </c>
      <c r="AC337" s="67" t="str">
        <f t="shared" si="285"/>
        <v>0,080726493966885-1,06832556952483i</v>
      </c>
      <c r="AD337" s="68">
        <f t="shared" si="286"/>
        <v>0.59879951031332</v>
      </c>
      <c r="AE337" s="31">
        <f t="shared" si="287"/>
        <v>-85.6787384573394</v>
      </c>
      <c r="AF337" s="32" t="str">
        <f t="shared" si="288"/>
        <v>249,914648392112</v>
      </c>
      <c r="AG337" s="32" t="str">
        <f t="shared" si="270"/>
        <v>1+102,180769146398i</v>
      </c>
      <c r="AH337" s="32">
        <f t="shared" si="289"/>
        <v>102.185662317908</v>
      </c>
      <c r="AI337" s="32">
        <f t="shared" si="290"/>
        <v>1.5610100618794</v>
      </c>
      <c r="AJ337" s="32" t="str">
        <f t="shared" si="271"/>
        <v>1+1,52589948591955i</v>
      </c>
      <c r="AK337" s="32">
        <f t="shared" si="291"/>
        <v>1.82438187919348</v>
      </c>
      <c r="AL337" s="32">
        <f t="shared" si="292"/>
        <v>0.990668499120135</v>
      </c>
      <c r="AM337" s="32" t="str">
        <f t="shared" si="272"/>
        <v>1-0,154417106816007i</v>
      </c>
      <c r="AN337" s="32">
        <f t="shared" si="293"/>
        <v>1.01185208547368</v>
      </c>
      <c r="AO337" s="32">
        <f t="shared" si="294"/>
        <v>-0.153207032227127</v>
      </c>
      <c r="AP337" s="30" t="str">
        <f t="shared" si="295"/>
        <v>3,38363596176194-2,98898853460836i</v>
      </c>
      <c r="AQ337" s="32">
        <f t="shared" si="296"/>
        <v>13.092690586274</v>
      </c>
      <c r="AR337" s="31">
        <f t="shared" si="297"/>
        <v>-41.4562807653408</v>
      </c>
      <c r="AS337" t="str">
        <f t="shared" si="273"/>
        <v>-0,000100699300699301</v>
      </c>
      <c r="AT337" t="str">
        <f t="shared" si="274"/>
        <v>0,0218666845973293i</v>
      </c>
      <c r="AU337">
        <f t="shared" si="298"/>
        <v>0.0218666845973293</v>
      </c>
      <c r="AV337">
        <f t="shared" si="299"/>
        <v>1.5707963267949</v>
      </c>
      <c r="AW337" t="str">
        <f t="shared" si="275"/>
        <v>1+1,11953414391015i</v>
      </c>
      <c r="AX337">
        <f t="shared" si="300"/>
        <v>1.50111848279229</v>
      </c>
      <c r="AY337">
        <f t="shared" si="301"/>
        <v>0.841734909459544</v>
      </c>
      <c r="AZ337" t="str">
        <f t="shared" si="276"/>
        <v>1+53,5232600290658i</v>
      </c>
      <c r="BA337">
        <f t="shared" si="302"/>
        <v>53.5326009468902</v>
      </c>
      <c r="BB337">
        <f t="shared" si="303"/>
        <v>1.55211503446475</v>
      </c>
      <c r="BC337" s="30" t="str">
        <f t="shared" si="304"/>
        <v>-0,107096612819661+0,12450346191913i</v>
      </c>
      <c r="BD337" s="32">
        <f t="shared" si="305"/>
        <v>-15.6910622768081</v>
      </c>
      <c r="BE337" s="31">
        <f t="shared" si="306"/>
        <v>130.701783012774</v>
      </c>
      <c r="BF337" s="30" t="str">
        <f t="shared" si="307"/>
        <v>0,124364697793907+0,124464777852215i</v>
      </c>
      <c r="BG337" s="68">
        <f t="shared" si="308"/>
        <v>-15.0922627664948</v>
      </c>
      <c r="BH337" s="31">
        <f t="shared" si="309"/>
        <v>45.0230445554345</v>
      </c>
      <c r="BI337" s="30" t="str">
        <f t="shared" si="316"/>
        <v>0,00976346967582842+0,741384938926784i</v>
      </c>
      <c r="BJ337" s="68">
        <f t="shared" si="310"/>
        <v>-2.59837169053412</v>
      </c>
      <c r="BK337" s="31">
        <f t="shared" si="317"/>
        <v>89.2455022474332</v>
      </c>
      <c r="BL337" s="32">
        <f t="shared" si="311"/>
        <v>-15.0922627664948</v>
      </c>
      <c r="BM337" s="31">
        <f t="shared" si="312"/>
        <v>45.0230445554345</v>
      </c>
      <c r="BO337">
        <f t="shared" si="313"/>
        <v>0</v>
      </c>
      <c r="BP337">
        <f t="shared" si="314"/>
        <v>0</v>
      </c>
    </row>
    <row r="338" spans="14:68">
      <c r="N338" s="7">
        <v>20</v>
      </c>
      <c r="O338" s="18">
        <f t="shared" si="318"/>
        <v>15848.9319246111</v>
      </c>
      <c r="P338" s="86" t="str">
        <f t="shared" si="265"/>
        <v>75</v>
      </c>
      <c r="Q338" s="4" t="str">
        <f t="shared" si="266"/>
        <v>1+162,650234465236i</v>
      </c>
      <c r="R338" s="4">
        <f t="shared" si="277"/>
        <v>162.653308517215</v>
      </c>
      <c r="S338" s="4">
        <f t="shared" si="278"/>
        <v>1.56464824220339</v>
      </c>
      <c r="T338" s="4" t="str">
        <f t="shared" si="267"/>
        <v>1+1,56144225086627i</v>
      </c>
      <c r="U338" s="4">
        <f t="shared" si="279"/>
        <v>1.85421193578035</v>
      </c>
      <c r="V338" s="4">
        <f t="shared" si="280"/>
        <v>1.00117562845711</v>
      </c>
      <c r="W338" t="str">
        <f t="shared" si="268"/>
        <v>1-0,819060109271369i</v>
      </c>
      <c r="X338" s="4">
        <f t="shared" si="281"/>
        <v>1.29261729162178</v>
      </c>
      <c r="Y338" s="4">
        <f t="shared" si="282"/>
        <v>-0.686255389552132</v>
      </c>
      <c r="Z338" t="str">
        <f t="shared" si="269"/>
        <v>0,997949480464074+0,257022596661622i</v>
      </c>
      <c r="AA338" s="4">
        <f t="shared" si="283"/>
        <v>1.03051626903858</v>
      </c>
      <c r="AB338" s="4">
        <f t="shared" si="284"/>
        <v>0.25207249080489</v>
      </c>
      <c r="AC338" s="67" t="str">
        <f t="shared" si="285"/>
        <v>0,0739351702959085-1,06988798052792i</v>
      </c>
      <c r="AD338" s="68">
        <f t="shared" si="286"/>
        <v>0.607456857480339</v>
      </c>
      <c r="AE338" s="31">
        <f t="shared" si="287"/>
        <v>-86.0468299827808</v>
      </c>
      <c r="AF338" s="32" t="str">
        <f t="shared" si="288"/>
        <v>249,914648392112</v>
      </c>
      <c r="AG338" s="32" t="str">
        <f t="shared" si="270"/>
        <v>1+104,560865013366i</v>
      </c>
      <c r="AH338" s="32">
        <f t="shared" si="289"/>
        <v>104.565646807847</v>
      </c>
      <c r="AI338" s="32">
        <f t="shared" si="290"/>
        <v>1.56123281072471</v>
      </c>
      <c r="AJ338" s="32" t="str">
        <f t="shared" si="271"/>
        <v>1+1,56144225086627i</v>
      </c>
      <c r="AK338" s="32">
        <f t="shared" si="291"/>
        <v>1.85421193578035</v>
      </c>
      <c r="AL338" s="32">
        <f t="shared" si="292"/>
        <v>1.00117562845711</v>
      </c>
      <c r="AM338" s="32" t="str">
        <f t="shared" si="272"/>
        <v>1-0,158013943293088i</v>
      </c>
      <c r="AN338" s="32">
        <f t="shared" si="293"/>
        <v>1.01240723341698</v>
      </c>
      <c r="AO338" s="32">
        <f t="shared" si="294"/>
        <v>-0.156718181680251</v>
      </c>
      <c r="AP338" s="30" t="str">
        <f t="shared" si="295"/>
        <v>3,3825733427963-2,9475026632456i</v>
      </c>
      <c r="AQ338" s="32">
        <f t="shared" si="296"/>
        <v>13.0383459202495</v>
      </c>
      <c r="AR338" s="31">
        <f t="shared" si="297"/>
        <v>-41.0682032131655</v>
      </c>
      <c r="AS338" t="str">
        <f t="shared" si="273"/>
        <v>-0,000100699300699301</v>
      </c>
      <c r="AT338" t="str">
        <f t="shared" si="274"/>
        <v>0,0223760251128604i</v>
      </c>
      <c r="AU338">
        <f t="shared" si="298"/>
        <v>0.0223760251128604</v>
      </c>
      <c r="AV338">
        <f t="shared" si="299"/>
        <v>1.5707963267949</v>
      </c>
      <c r="AW338" t="str">
        <f t="shared" si="275"/>
        <v>1+1,14561144408228i</v>
      </c>
      <c r="AX338">
        <f t="shared" si="300"/>
        <v>1.5206661634995</v>
      </c>
      <c r="AY338">
        <f t="shared" si="301"/>
        <v>0.853159041604466</v>
      </c>
      <c r="AZ338" t="str">
        <f t="shared" si="276"/>
        <v>1+54,7699769117632i</v>
      </c>
      <c r="BA338">
        <f t="shared" si="302"/>
        <v>54.7791052401833</v>
      </c>
      <c r="BB338">
        <f t="shared" si="303"/>
        <v>1.55254017701645</v>
      </c>
      <c r="BC338" s="30" t="str">
        <f t="shared" si="304"/>
        <v>-0,104360923863065+0,124057389915416i</v>
      </c>
      <c r="BD338" s="32">
        <f t="shared" si="305"/>
        <v>-15.8035086887942</v>
      </c>
      <c r="BE338" s="31">
        <f t="shared" si="306"/>
        <v>130.071587330174</v>
      </c>
      <c r="BF338" s="30" t="str">
        <f t="shared" si="307"/>
        <v>0,125011567688115+0,120826702327745i</v>
      </c>
      <c r="BG338" s="68">
        <f t="shared" si="308"/>
        <v>-15.1960518313139</v>
      </c>
      <c r="BH338" s="31">
        <f t="shared" si="309"/>
        <v>44.0247573473934</v>
      </c>
      <c r="BI338" s="30" t="str">
        <f t="shared" si="316"/>
        <v>0,0126510080821885+0,727237321129928i</v>
      </c>
      <c r="BJ338" s="68">
        <f t="shared" si="310"/>
        <v>-2.76516276854472</v>
      </c>
      <c r="BK338" s="31">
        <f t="shared" si="317"/>
        <v>89.0033841170086</v>
      </c>
      <c r="BL338" s="32">
        <f t="shared" si="311"/>
        <v>-15.1960518313139</v>
      </c>
      <c r="BM338" s="31">
        <f t="shared" si="312"/>
        <v>44.0247573473934</v>
      </c>
      <c r="BO338">
        <f t="shared" si="313"/>
        <v>0</v>
      </c>
      <c r="BP338">
        <f t="shared" si="314"/>
        <v>0</v>
      </c>
    </row>
    <row r="339" spans="14:68">
      <c r="N339" s="7">
        <v>21</v>
      </c>
      <c r="O339" s="18">
        <f t="shared" si="318"/>
        <v>16218.1009735893</v>
      </c>
      <c r="P339" s="86" t="str">
        <f t="shared" ref="P339:P402" si="319">COMPLEX(Adc,0)</f>
        <v>75</v>
      </c>
      <c r="Q339" s="4" t="str">
        <f t="shared" ref="Q339:Q402" si="320">IMSUM(COMPLEX(1,0),IMDIV(COMPLEX(0,2*PI()*O339),COMPLEX(wp_lf,0)))</f>
        <v>1+166,438845121098i</v>
      </c>
      <c r="R339" s="4">
        <f t="shared" si="277"/>
        <v>166.441849200388</v>
      </c>
      <c r="S339" s="4">
        <f t="shared" si="278"/>
        <v>1.56478818628744</v>
      </c>
      <c r="T339" s="4" t="str">
        <f t="shared" ref="T339:T402" si="321">IMSUM(COMPLEX(1,0),IMDIV(COMPLEX(0,2*PI()*O339),COMPLEX(wz_esr,0)))</f>
        <v>1+1,59781291316254i</v>
      </c>
      <c r="U339" s="4">
        <f t="shared" si="279"/>
        <v>1.88494193689593</v>
      </c>
      <c r="V339" s="4">
        <f t="shared" si="280"/>
        <v>1.0115820568175</v>
      </c>
      <c r="W339" t="str">
        <f t="shared" ref="W339:W402" si="322">IMSUB(COMPLEX(1,0),IMDIV(COMPLEX(0,2*PI()*O339),COMPLEX(wz_rhp,0)))</f>
        <v>1-0,838138470074101i</v>
      </c>
      <c r="X339" s="4">
        <f t="shared" si="281"/>
        <v>1.30478967462889</v>
      </c>
      <c r="Y339" s="4">
        <f t="shared" si="282"/>
        <v>-0.697567401297647</v>
      </c>
      <c r="Z339" t="str">
        <f t="shared" ref="Z339:Z402" si="323">IMSUM(COMPLEX(1,0),IMDIV(COMPLEX(0,2*PI()*O339),COMPLEX(Q*(wsl/2),0)),IMDIV(IMPOWER(COMPLEX(0,2*PI()*O339),2),IMPOWER(COMPLEX(wsl/2,0),2)))</f>
        <v>0,997852842455596+0,26300942202164i</v>
      </c>
      <c r="AA339" s="4">
        <f t="shared" si="283"/>
        <v>1.03193229006019</v>
      </c>
      <c r="AB339" s="4">
        <f t="shared" si="284"/>
        <v>0.257714102052985</v>
      </c>
      <c r="AC339" s="67" t="str">
        <f t="shared" si="285"/>
        <v>0,0668734322219739-1,07187076169927i</v>
      </c>
      <c r="AD339" s="68">
        <f t="shared" si="286"/>
        <v>0.619720344099603</v>
      </c>
      <c r="AE339" s="31">
        <f t="shared" si="287"/>
        <v>-86.429974808299</v>
      </c>
      <c r="AF339" s="32" t="str">
        <f t="shared" si="288"/>
        <v>249,914648392112</v>
      </c>
      <c r="AG339" s="32" t="str">
        <f t="shared" ref="AG339:AG402" si="324">IMSUM(COMPLEX(1,0),IMDIV(COMPLEX(0,2*PI()*O339),COMPLEX(wp_lf_DCM,0)))</f>
        <v>1+106,996400434991i</v>
      </c>
      <c r="AH339" s="32">
        <f t="shared" si="289"/>
        <v>107.001073387349</v>
      </c>
      <c r="AI339" s="32">
        <f t="shared" si="290"/>
        <v>1.56145049010434</v>
      </c>
      <c r="AJ339" s="32" t="str">
        <f t="shared" ref="AJ339:AJ402" si="325">IMSUM(COMPLEX(1,0),IMDIV(COMPLEX(0,2*PI()*O339),COMPLEX(wz1_dcm,0)))</f>
        <v>1+1,59781291316254i</v>
      </c>
      <c r="AK339" s="32">
        <f t="shared" si="291"/>
        <v>1.88494193689593</v>
      </c>
      <c r="AL339" s="32">
        <f t="shared" si="292"/>
        <v>1.0115820568175</v>
      </c>
      <c r="AM339" s="32" t="str">
        <f t="shared" ref="AM339:AM402" si="326">IMSUB(COMPLEX(1,0),IMDIV(COMPLEX(0,2*PI()*O339),COMPLEX(wz2_dcm,0)))</f>
        <v>1-0,161694560854465i</v>
      </c>
      <c r="AN339" s="32">
        <f t="shared" si="293"/>
        <v>1.01298821859384</v>
      </c>
      <c r="AO339" s="32">
        <f t="shared" si="294"/>
        <v>-0.16030708692747</v>
      </c>
      <c r="AP339" s="30" t="str">
        <f t="shared" si="295"/>
        <v>3,38155854101109-2,90757868185491i</v>
      </c>
      <c r="AQ339" s="32">
        <f t="shared" si="296"/>
        <v>12.9861189870598</v>
      </c>
      <c r="AR339" s="31">
        <f t="shared" si="297"/>
        <v>-40.690060021788</v>
      </c>
      <c r="AS339" t="str">
        <f t="shared" ref="AS339:AS402" si="327">COMPLEX(Adc_ea,0)</f>
        <v>-0,000100699300699301</v>
      </c>
      <c r="AT339" t="str">
        <f t="shared" ref="AT339:AT402" si="328">COMPLEX(0,2*PI()*O339*wp0_ea)</f>
        <v>0,0228972296930882i</v>
      </c>
      <c r="AU339">
        <f t="shared" si="298"/>
        <v>0.0228972296930882</v>
      </c>
      <c r="AV339">
        <f t="shared" si="299"/>
        <v>1.5707963267949</v>
      </c>
      <c r="AW339" t="str">
        <f t="shared" ref="AW339:AW402" si="329">IMSUM(COMPLEX(1,0),IMDIV(COMPLEX(0,2*PI()*O339),COMPLEX(wp1_ea,0)))</f>
        <v>1+1,17229616260603i</v>
      </c>
      <c r="AX339">
        <f t="shared" si="300"/>
        <v>1.54086933023564</v>
      </c>
      <c r="AY339">
        <f t="shared" si="301"/>
        <v>0.864547693558601</v>
      </c>
      <c r="AZ339" t="str">
        <f t="shared" ref="AZ339:AZ402" si="330">IMSUM(COMPLEX(1,0),IMDIV(COMPLEX(0,2*PI()*O339),COMPLEX(wz_ea,0)))</f>
        <v>1+56,045733561186i</v>
      </c>
      <c r="BA339">
        <f t="shared" si="302"/>
        <v>56.0546541369354</v>
      </c>
      <c r="BB339">
        <f t="shared" si="303"/>
        <v>1.55295564851996</v>
      </c>
      <c r="BC339" s="30" t="str">
        <f t="shared" si="304"/>
        <v>-0,101642200370445+0,12355264285837i</v>
      </c>
      <c r="BD339" s="32">
        <f t="shared" si="305"/>
        <v>-15.9182123968696</v>
      </c>
      <c r="BE339" s="31">
        <f t="shared" si="306"/>
        <v>129.442870402518</v>
      </c>
      <c r="BF339" s="30" t="str">
        <f t="shared" si="307"/>
        <v>0,125635302613194+0,117209692019894i</v>
      </c>
      <c r="BG339" s="68">
        <f t="shared" si="308"/>
        <v>-15.29849205277</v>
      </c>
      <c r="BH339" s="31">
        <f t="shared" si="309"/>
        <v>43.0128955942188</v>
      </c>
      <c r="BI339" s="30" t="str">
        <f t="shared" si="316"/>
        <v>0,015529979671991+0,713333189696145i</v>
      </c>
      <c r="BJ339" s="68">
        <f t="shared" si="310"/>
        <v>-2.93209340980976</v>
      </c>
      <c r="BK339" s="31">
        <f t="shared" si="317"/>
        <v>88.7528103807298</v>
      </c>
      <c r="BL339" s="32">
        <f t="shared" si="311"/>
        <v>-15.29849205277</v>
      </c>
      <c r="BM339" s="31">
        <f t="shared" si="312"/>
        <v>43.0128955942188</v>
      </c>
      <c r="BO339">
        <f t="shared" si="313"/>
        <v>0</v>
      </c>
      <c r="BP339">
        <f t="shared" si="314"/>
        <v>0</v>
      </c>
    </row>
    <row r="340" spans="14:68">
      <c r="N340" s="7">
        <v>22</v>
      </c>
      <c r="O340" s="18">
        <f t="shared" si="318"/>
        <v>16595.8690743756</v>
      </c>
      <c r="P340" s="86" t="str">
        <f t="shared" si="319"/>
        <v>75</v>
      </c>
      <c r="Q340" s="4" t="str">
        <f t="shared" si="320"/>
        <v>1+170,315703855722i</v>
      </c>
      <c r="R340" s="4">
        <f t="shared" ref="R340:R403" si="331">IMABS(Q340)</f>
        <v>170.318639555012</v>
      </c>
      <c r="S340" s="4">
        <f t="shared" ref="S340:S403" si="332">IMARGUMENT(Q340)</f>
        <v>1.56492494508262</v>
      </c>
      <c r="T340" s="4" t="str">
        <f t="shared" si="321"/>
        <v>1+1,63503075701493i</v>
      </c>
      <c r="U340" s="4">
        <f t="shared" ref="U340:U403" si="333">IMABS(T340)</f>
        <v>1.91659217789931</v>
      </c>
      <c r="V340" s="4">
        <f t="shared" ref="V340:V403" si="334">IMARGUMENT(T340)</f>
        <v>1.02188428592174</v>
      </c>
      <c r="W340" t="str">
        <f t="shared" si="322"/>
        <v>1-0,857661222987742i</v>
      </c>
      <c r="X340" s="4">
        <f t="shared" ref="X340:X403" si="335">IMABS(W340)</f>
        <v>1.31741518642258</v>
      </c>
      <c r="Y340" s="4">
        <f t="shared" ref="Y340:Y403" si="336">IMARGUMENT(W340)</f>
        <v>-0.708925018263346</v>
      </c>
      <c r="Z340" t="str">
        <f t="shared" si="323"/>
        <v>0,997751650038091+0,269135698458557i</v>
      </c>
      <c r="AA340" s="4">
        <f t="shared" ref="AA340:AA403" si="337">IMABS(Z340)</f>
        <v>1.03341297618063</v>
      </c>
      <c r="AB340" s="4">
        <f t="shared" ref="AB340:AB403" si="338">IMARGUMENT(Z340)</f>
        <v>0.26347151060989</v>
      </c>
      <c r="AC340" s="67" t="str">
        <f t="shared" ref="AC340:AC403" si="339">(IMDIV(IMPRODUCT(P340,T340,W340),IMPRODUCT(Q340,Z340)))</f>
        <v>0,0595312534646149-1,07426575861004i</v>
      </c>
      <c r="AD340" s="68">
        <f t="shared" ref="AD340:AD403" si="340">20*LOG(IMABS(AC340))</f>
        <v>0.635551004149593</v>
      </c>
      <c r="AE340" s="31">
        <f t="shared" ref="AE340:AE403" si="341">(180/PI())*IMARGUMENT(AC340)</f>
        <v>-86.8281549915281</v>
      </c>
      <c r="AF340" s="32" t="str">
        <f t="shared" ref="AF340:AF403" si="342">COMPLEX($B$68,0)</f>
        <v>249,914648392112</v>
      </c>
      <c r="AG340" s="32" t="str">
        <f t="shared" si="324"/>
        <v>1+109,488666764393i</v>
      </c>
      <c r="AH340" s="32">
        <f t="shared" ref="AH340:AH403" si="343">IMABS(AG340)</f>
        <v>109.493233351857</v>
      </c>
      <c r="AI340" s="32">
        <f t="shared" ref="AI340:AI403" si="344">IMARGUMENT(AG340)</f>
        <v>1.56166321535221</v>
      </c>
      <c r="AJ340" s="32" t="str">
        <f t="shared" si="325"/>
        <v>1+1,63503075701493i</v>
      </c>
      <c r="AK340" s="32">
        <f t="shared" ref="AK340:AK403" si="345">IMABS(AJ340)</f>
        <v>1.91659217789931</v>
      </c>
      <c r="AL340" s="32">
        <f t="shared" ref="AL340:AL403" si="346">IMARGUMENT(AJ340)</f>
        <v>1.02188428592174</v>
      </c>
      <c r="AM340" s="32" t="str">
        <f t="shared" si="326"/>
        <v>1-0,165460911012288i</v>
      </c>
      <c r="AN340" s="32">
        <f t="shared" ref="AN340:AN403" si="347">IMABS(AM340)</f>
        <v>1.01359622783089</v>
      </c>
      <c r="AO340" s="32">
        <f t="shared" ref="AO340:AO403" si="348">IMARGUMENT(AM340)</f>
        <v>-0.16397528085752</v>
      </c>
      <c r="AP340" s="30" t="str">
        <f t="shared" ref="AP340:AP403" si="349">(IMDIV(IMPRODUCT(AF340,AJ340,AM340),IMPRODUCT(AG340)))</f>
        <v>3,38058940503095-2,8691954832716i</v>
      </c>
      <c r="AQ340" s="32">
        <f t="shared" ref="AQ340:AQ403" si="350">20*LOG(IMABS(AP340))</f>
        <v>12.9359825731451</v>
      </c>
      <c r="AR340" s="31">
        <f t="shared" ref="AR340:AR403" si="351">(180/PI())*IMARGUMENT(AP340)</f>
        <v>-40.3221460640641</v>
      </c>
      <c r="AS340" t="str">
        <f t="shared" si="327"/>
        <v>-0,000100699300699301</v>
      </c>
      <c r="AT340" t="str">
        <f t="shared" si="328"/>
        <v>0,02343057468758i</v>
      </c>
      <c r="AU340">
        <f t="shared" ref="AU340:AU403" si="352">IMABS(AT340)</f>
        <v>0.02343057468758</v>
      </c>
      <c r="AV340">
        <f t="shared" ref="AV340:AV403" si="353">IMARGUMENT(AT340)</f>
        <v>1.5707963267949</v>
      </c>
      <c r="AW340" t="str">
        <f t="shared" si="329"/>
        <v>1+1,19960244807237i</v>
      </c>
      <c r="AX340">
        <f t="shared" ref="AX340:AX403" si="354">IMABS(AW340)</f>
        <v>1.56174454806835</v>
      </c>
      <c r="AY340">
        <f t="shared" ref="AY340:AY403" si="355">IMARGUMENT(AW340)</f>
        <v>0.875895087619666</v>
      </c>
      <c r="AZ340" t="str">
        <f t="shared" si="330"/>
        <v>1+57,3512064003961i</v>
      </c>
      <c r="BA340">
        <f t="shared" ref="BA340:BA403" si="356">IMABS(AZ340)</f>
        <v>57.3599239502707</v>
      </c>
      <c r="BB340">
        <f t="shared" ref="BB340:BB403" si="357">IMARGUMENT(AZ340)</f>
        <v>1.55336166868969</v>
      </c>
      <c r="BC340" s="30" t="str">
        <f t="shared" ref="BC340:BC403" si="358">IMPRODUCT(AS340,IMDIV(AZ340,IMPRODUCT(AT340,AW340)))</f>
        <v>-0,0989431386990469+0,122990204805915i</v>
      </c>
      <c r="BD340" s="32">
        <f t="shared" ref="BD340:BD403" si="359">20*LOG(IMABS(BC340))</f>
        <v>-16.035158356418</v>
      </c>
      <c r="BE340" s="31">
        <f t="shared" ref="BE340:BE403" si="360">(180/PI())*IMARGUMENT(BC340)</f>
        <v>128.815975856469</v>
      </c>
      <c r="BF340" s="30" t="str">
        <f t="shared" ref="BF340:BF403" si="361">IMPRODUCT(AC340,BC340)</f>
        <v>0,126233956598953+0,113612987009756i</v>
      </c>
      <c r="BG340" s="68">
        <f t="shared" ref="BG340:BG403" si="362">20*LOG(IMABS(BF340))</f>
        <v>-15.3996073522684</v>
      </c>
      <c r="BH340" s="31">
        <f t="shared" ref="BH340:BH403" si="363">(180/PI())*IMARGUMENT(BF340)</f>
        <v>41.9878208649414</v>
      </c>
      <c r="BI340" s="30" t="str">
        <f t="shared" si="316"/>
        <v>0,0183968137292745+0,699666589945484i</v>
      </c>
      <c r="BJ340" s="68">
        <f t="shared" ref="BJ340:BJ403" si="364">20*LOG(IMABS(BI340))</f>
        <v>-3.09917578327287</v>
      </c>
      <c r="BK340" s="31">
        <f t="shared" si="317"/>
        <v>88.4938297924054</v>
      </c>
      <c r="BL340" s="32">
        <f t="shared" ref="BL340:BL403" si="365">IF($B$31=0,BJ340,BG340)</f>
        <v>-15.3996073522684</v>
      </c>
      <c r="BM340" s="31">
        <f t="shared" ref="BM340:BM403" si="366">IF($B$31=0,BK340,BH340)</f>
        <v>41.9878208649414</v>
      </c>
      <c r="BO340">
        <f t="shared" ref="BO340:BO403" si="367">SUM((BL341&lt;0)*(BL340&gt;0))*O340</f>
        <v>0</v>
      </c>
      <c r="BP340">
        <f t="shared" ref="BP340:BP403" si="368">IF(BO340&gt;0,BM340,0)</f>
        <v>0</v>
      </c>
    </row>
    <row r="341" spans="14:68">
      <c r="N341" s="7">
        <v>23</v>
      </c>
      <c r="O341" s="18">
        <f t="shared" si="318"/>
        <v>16982.4365246175</v>
      </c>
      <c r="P341" s="86" t="str">
        <f t="shared" si="319"/>
        <v>75</v>
      </c>
      <c r="Q341" s="4" t="str">
        <f t="shared" si="320"/>
        <v>1+174,282866230925i</v>
      </c>
      <c r="R341" s="4">
        <f t="shared" si="331"/>
        <v>174.285735106653</v>
      </c>
      <c r="S341" s="4">
        <f t="shared" si="332"/>
        <v>1.56505859107978</v>
      </c>
      <c r="T341" s="4" t="str">
        <f t="shared" si="321"/>
        <v>1+1,67311551581689i</v>
      </c>
      <c r="U341" s="4">
        <f t="shared" si="333"/>
        <v>1.94918329801669</v>
      </c>
      <c r="V341" s="4">
        <f t="shared" si="334"/>
        <v>1.03207903027335</v>
      </c>
      <c r="W341" t="str">
        <f t="shared" si="322"/>
        <v>1-0,877638719234303i</v>
      </c>
      <c r="X341" s="4">
        <f t="shared" si="335"/>
        <v>1.33050731734148</v>
      </c>
      <c r="Y341" s="4">
        <f t="shared" si="336"/>
        <v>-0.720322542587027</v>
      </c>
      <c r="Z341" t="str">
        <f t="shared" si="323"/>
        <v>0,997645688568876+0,275404674205229i</v>
      </c>
      <c r="AA341" s="4">
        <f t="shared" si="337"/>
        <v>1.03496118501814</v>
      </c>
      <c r="AB341" s="4">
        <f t="shared" si="338"/>
        <v>0.26934639273992</v>
      </c>
      <c r="AC341" s="67" t="str">
        <f t="shared" si="339"/>
        <v>0,0518984300860047-1,07706451759247i</v>
      </c>
      <c r="AD341" s="68">
        <f t="shared" si="340"/>
        <v>0.654906143900007</v>
      </c>
      <c r="AE341" s="31">
        <f t="shared" si="341"/>
        <v>-87.2413325103843</v>
      </c>
      <c r="AF341" s="32" t="str">
        <f t="shared" si="342"/>
        <v>249,914648392112</v>
      </c>
      <c r="AG341" s="32" t="str">
        <f t="shared" si="324"/>
        <v>1+112,038985434166i</v>
      </c>
      <c r="AH341" s="32">
        <f t="shared" si="343"/>
        <v>112.043448077597</v>
      </c>
      <c r="AI341" s="32">
        <f t="shared" si="344"/>
        <v>1.561871099181</v>
      </c>
      <c r="AJ341" s="32" t="str">
        <f t="shared" si="325"/>
        <v>1+1,67311551581689i</v>
      </c>
      <c r="AK341" s="32">
        <f t="shared" si="345"/>
        <v>1.94918329801669</v>
      </c>
      <c r="AL341" s="32">
        <f t="shared" si="346"/>
        <v>1.03207903027335</v>
      </c>
      <c r="AM341" s="32" t="str">
        <f t="shared" si="326"/>
        <v>1-0,169314990735265i</v>
      </c>
      <c r="AN341" s="32">
        <f t="shared" si="347"/>
        <v>1.01423250100146</v>
      </c>
      <c r="AO341" s="32">
        <f t="shared" si="348"/>
        <v>-0.167724313331743</v>
      </c>
      <c r="AP341" s="30" t="str">
        <f t="shared" si="349"/>
        <v>3,37966388024234-2,8323327732003i</v>
      </c>
      <c r="AQ341" s="32">
        <f t="shared" si="350"/>
        <v>12.8879090327513</v>
      </c>
      <c r="AR341" s="31">
        <f t="shared" si="351"/>
        <v>-39.964744843551</v>
      </c>
      <c r="AS341" t="str">
        <f t="shared" si="327"/>
        <v>-0,000100699300699301</v>
      </c>
      <c r="AT341" t="str">
        <f t="shared" si="328"/>
        <v>0,0239763428829115i</v>
      </c>
      <c r="AU341">
        <f t="shared" si="352"/>
        <v>0.0239763428829115</v>
      </c>
      <c r="AV341">
        <f t="shared" si="353"/>
        <v>1.5707963267949</v>
      </c>
      <c r="AW341" t="str">
        <f t="shared" si="329"/>
        <v>1+1,2275447786353i</v>
      </c>
      <c r="AX341">
        <f t="shared" si="354"/>
        <v>1.5833086191753</v>
      </c>
      <c r="AY341">
        <f t="shared" si="355"/>
        <v>0.887195552109873</v>
      </c>
      <c r="AZ341" t="str">
        <f t="shared" si="330"/>
        <v>1+58,6870876083728i</v>
      </c>
      <c r="BA341">
        <f t="shared" si="356"/>
        <v>58.6956067517223</v>
      </c>
      <c r="BB341">
        <f t="shared" si="357"/>
        <v>1.55375845226714</v>
      </c>
      <c r="BC341" s="30" t="str">
        <f t="shared" si="358"/>
        <v>-0,096266355005815+0,122371205581869i</v>
      </c>
      <c r="BD341" s="32">
        <f t="shared" si="359"/>
        <v>-16.1543293145532</v>
      </c>
      <c r="BE341" s="31">
        <f t="shared" si="360"/>
        <v>128.191240959011</v>
      </c>
      <c r="BF341" s="30" t="str">
        <f t="shared" si="361"/>
        <v>0,126805610812341+0,110035948672154i</v>
      </c>
      <c r="BG341" s="68">
        <f t="shared" si="362"/>
        <v>-15.4994231706532</v>
      </c>
      <c r="BH341" s="31">
        <f t="shared" si="363"/>
        <v>40.9499084486269</v>
      </c>
      <c r="BI341" s="30" t="str">
        <f t="shared" si="316"/>
        <v>0,0212480531698197+0,686231895726257i</v>
      </c>
      <c r="BJ341" s="68">
        <f t="shared" si="364"/>
        <v>-3.26642028180185</v>
      </c>
      <c r="BK341" s="31">
        <f t="shared" si="317"/>
        <v>88.2264961154603</v>
      </c>
      <c r="BL341" s="32">
        <f t="shared" si="365"/>
        <v>-15.4994231706532</v>
      </c>
      <c r="BM341" s="31">
        <f t="shared" si="366"/>
        <v>40.9499084486269</v>
      </c>
      <c r="BO341">
        <f t="shared" si="367"/>
        <v>0</v>
      </c>
      <c r="BP341">
        <f t="shared" si="368"/>
        <v>0</v>
      </c>
    </row>
    <row r="342" spans="14:68">
      <c r="N342" s="7">
        <v>24</v>
      </c>
      <c r="O342" s="18">
        <f t="shared" si="318"/>
        <v>17378.0082874938</v>
      </c>
      <c r="P342" s="86" t="str">
        <f t="shared" si="319"/>
        <v>75</v>
      </c>
      <c r="Q342" s="4" t="str">
        <f t="shared" si="320"/>
        <v>1+178,342435688709i</v>
      </c>
      <c r="R342" s="4">
        <f t="shared" si="331"/>
        <v>178.345239261891</v>
      </c>
      <c r="S342" s="4">
        <f t="shared" si="332"/>
        <v>1.5651891951207</v>
      </c>
      <c r="T342" s="4" t="str">
        <f t="shared" si="321"/>
        <v>1+1,71208738261161i</v>
      </c>
      <c r="U342" s="4">
        <f t="shared" si="333"/>
        <v>1.98273629252553</v>
      </c>
      <c r="V342" s="4">
        <f t="shared" si="334"/>
        <v>1.04216321824976</v>
      </c>
      <c r="W342" t="str">
        <f t="shared" si="322"/>
        <v>1-0,898081551146714i</v>
      </c>
      <c r="X342" s="4">
        <f t="shared" si="335"/>
        <v>1.34407978651198</v>
      </c>
      <c r="Y342" s="4">
        <f t="shared" si="336"/>
        <v>-0.731754173644936</v>
      </c>
      <c r="Z342" t="str">
        <f t="shared" si="323"/>
        <v>0,997534733289468+0,281819673155573i</v>
      </c>
      <c r="AA342" s="4">
        <f t="shared" si="337"/>
        <v>1.03657989190241</v>
      </c>
      <c r="AB342" s="4">
        <f t="shared" si="338"/>
        <v>0.275340401458451</v>
      </c>
      <c r="AC342" s="67" t="str">
        <f t="shared" si="339"/>
        <v>0,0439645911094611-1,08025825895177i</v>
      </c>
      <c r="AD342" s="68">
        <f t="shared" si="340"/>
        <v>0.677739372104349</v>
      </c>
      <c r="AE342" s="31">
        <f t="shared" si="341"/>
        <v>-87.6694497743572</v>
      </c>
      <c r="AF342" s="32" t="str">
        <f t="shared" si="342"/>
        <v>249,914648392112</v>
      </c>
      <c r="AG342" s="32" t="str">
        <f t="shared" si="324"/>
        <v>1+114,648708657027i</v>
      </c>
      <c r="AH342" s="32">
        <f t="shared" si="343"/>
        <v>114.653069722201</v>
      </c>
      <c r="AI342" s="32">
        <f t="shared" si="344"/>
        <v>1.56207425174157</v>
      </c>
      <c r="AJ342" s="32" t="str">
        <f t="shared" si="325"/>
        <v>1+1,71208738261161i</v>
      </c>
      <c r="AK342" s="32">
        <f t="shared" si="345"/>
        <v>1.98273629252553</v>
      </c>
      <c r="AL342" s="32">
        <f t="shared" si="346"/>
        <v>1.04216321824976</v>
      </c>
      <c r="AM342" s="32" t="str">
        <f t="shared" si="326"/>
        <v>1-0,173258843507477i</v>
      </c>
      <c r="AN342" s="32">
        <f t="shared" si="347"/>
        <v>1.01489833325981</v>
      </c>
      <c r="AO342" s="32">
        <f t="shared" si="348"/>
        <v>-0.171555750375703</v>
      </c>
      <c r="AP342" s="30" t="str">
        <f t="shared" si="349"/>
        <v>3,37878000444395-2,79697105972617i</v>
      </c>
      <c r="AQ342" s="32">
        <f t="shared" si="350"/>
        <v>12.8418704156449</v>
      </c>
      <c r="AR342" s="31">
        <f t="shared" si="351"/>
        <v>-39.6181283890933</v>
      </c>
      <c r="AS342" t="str">
        <f t="shared" si="327"/>
        <v>-0,000100699300699301</v>
      </c>
      <c r="AT342" t="str">
        <f t="shared" si="328"/>
        <v>0,0245348236526039i</v>
      </c>
      <c r="AU342">
        <f t="shared" si="352"/>
        <v>0.0245348236526039</v>
      </c>
      <c r="AV342">
        <f t="shared" si="353"/>
        <v>1.5707963267949</v>
      </c>
      <c r="AW342" t="str">
        <f t="shared" si="329"/>
        <v>1+1,25613796968833i</v>
      </c>
      <c r="AX342">
        <f t="shared" si="354"/>
        <v>1.60557858695634</v>
      </c>
      <c r="AY342">
        <f t="shared" si="355"/>
        <v>0.898443534825849</v>
      </c>
      <c r="AZ342" t="str">
        <f t="shared" si="330"/>
        <v>1+60,0540854870142i</v>
      </c>
      <c r="BA342">
        <f t="shared" si="356"/>
        <v>60.0624107381781</v>
      </c>
      <c r="BB342">
        <f t="shared" si="357"/>
        <v>1.55414620913217</v>
      </c>
      <c r="BC342" s="30" t="str">
        <f t="shared" si="358"/>
        <v>-0,0936143756437211+0,121696913490603i</v>
      </c>
      <c r="BD342" s="32">
        <f t="shared" si="359"/>
        <v>-16.2757058808935</v>
      </c>
      <c r="BE342" s="31">
        <f t="shared" si="360"/>
        <v>127.568995853194</v>
      </c>
      <c r="BF342" s="30" t="str">
        <f t="shared" si="361"/>
        <v>0,127348378140019+0,106478057486641i</v>
      </c>
      <c r="BG342" s="68">
        <f t="shared" si="362"/>
        <v>-15.5979665087892</v>
      </c>
      <c r="BH342" s="31">
        <f t="shared" si="363"/>
        <v>39.8995460788364</v>
      </c>
      <c r="BI342" s="30" t="str">
        <f t="shared" si="316"/>
        <v>0,0240803645377063+0,673023797354417i</v>
      </c>
      <c r="BJ342" s="68">
        <f t="shared" si="364"/>
        <v>-3.43383546524859</v>
      </c>
      <c r="BK342" s="31">
        <f t="shared" si="317"/>
        <v>87.9508674641002</v>
      </c>
      <c r="BL342" s="32">
        <f t="shared" si="365"/>
        <v>-15.5979665087892</v>
      </c>
      <c r="BM342" s="31">
        <f t="shared" si="366"/>
        <v>39.8995460788364</v>
      </c>
      <c r="BO342">
        <f t="shared" si="367"/>
        <v>0</v>
      </c>
      <c r="BP342">
        <f t="shared" si="368"/>
        <v>0</v>
      </c>
    </row>
    <row r="343" spans="14:68">
      <c r="N343" s="7">
        <v>25</v>
      </c>
      <c r="O343" s="18">
        <f t="shared" si="318"/>
        <v>17782.7941003892</v>
      </c>
      <c r="P343" s="86" t="str">
        <f t="shared" si="319"/>
        <v>75</v>
      </c>
      <c r="Q343" s="4" t="str">
        <f t="shared" si="320"/>
        <v>1+182,496564666536i</v>
      </c>
      <c r="R343" s="4">
        <f t="shared" si="331"/>
        <v>182.499304423571</v>
      </c>
      <c r="S343" s="4">
        <f t="shared" si="332"/>
        <v>1.56531682643554</v>
      </c>
      <c r="T343" s="4" t="str">
        <f t="shared" si="321"/>
        <v>1+1,75196702079875i</v>
      </c>
      <c r="U343" s="4">
        <f t="shared" si="333"/>
        <v>2.01727252545769</v>
      </c>
      <c r="V343" s="4">
        <f t="shared" si="334"/>
        <v>1.05213399232357</v>
      </c>
      <c r="W343" t="str">
        <f t="shared" si="322"/>
        <v>1-0,919000557785057i</v>
      </c>
      <c r="X343" s="4">
        <f t="shared" si="335"/>
        <v>1.35814654040322</v>
      </c>
      <c r="Y343" s="4">
        <f t="shared" si="336"/>
        <v>-0.743214022299096</v>
      </c>
      <c r="Z343" t="str">
        <f t="shared" si="323"/>
        <v>0,997418548848842+0,288384096626949i</v>
      </c>
      <c r="AA343" s="4">
        <f t="shared" si="337"/>
        <v>1.03827219397183</v>
      </c>
      <c r="AB343" s="4">
        <f t="shared" si="338"/>
        <v>0.281455162693027</v>
      </c>
      <c r="AC343" s="67" t="str">
        <f t="shared" si="339"/>
        <v>0,0357192108923165-1,08383784980783i</v>
      </c>
      <c r="AD343" s="68">
        <f t="shared" si="340"/>
        <v>0.704000637555671</v>
      </c>
      <c r="AE343" s="31">
        <f t="shared" si="341"/>
        <v>-88.1124302103362</v>
      </c>
      <c r="AF343" s="32" t="str">
        <f t="shared" si="342"/>
        <v>249,914648392112</v>
      </c>
      <c r="AG343" s="32" t="str">
        <f t="shared" si="324"/>
        <v>1+117,319220142773i</v>
      </c>
      <c r="AH343" s="32">
        <f t="shared" si="343"/>
        <v>117.323481941632</v>
      </c>
      <c r="AI343" s="32">
        <f t="shared" si="344"/>
        <v>1.56227278068097</v>
      </c>
      <c r="AJ343" s="32" t="str">
        <f t="shared" si="325"/>
        <v>1+1,75196702079875i</v>
      </c>
      <c r="AK343" s="32">
        <f t="shared" si="345"/>
        <v>2.01727252545769</v>
      </c>
      <c r="AL343" s="32">
        <f t="shared" si="346"/>
        <v>1.05213399232357</v>
      </c>
      <c r="AM343" s="32" t="str">
        <f t="shared" si="326"/>
        <v>1-0,177294560411868i</v>
      </c>
      <c r="AN343" s="32">
        <f t="shared" si="347"/>
        <v>1.01559507735693</v>
      </c>
      <c r="AO343" s="32">
        <f t="shared" si="348"/>
        <v>-0.175471173281388</v>
      </c>
      <c r="AP343" s="30" t="str">
        <f t="shared" si="349"/>
        <v>3,37793590369324-2,76309164323396i</v>
      </c>
      <c r="AQ343" s="32">
        <f t="shared" si="350"/>
        <v>12.7978385932472</v>
      </c>
      <c r="AR343" s="31">
        <f t="shared" si="351"/>
        <v>-39.2825571940287</v>
      </c>
      <c r="AS343" t="str">
        <f t="shared" si="327"/>
        <v>-0,000100699300699301</v>
      </c>
      <c r="AT343" t="str">
        <f t="shared" si="328"/>
        <v>0,0251063131105535i</v>
      </c>
      <c r="AU343">
        <f t="shared" si="352"/>
        <v>0.0251063131105535</v>
      </c>
      <c r="AV343">
        <f t="shared" si="353"/>
        <v>1.5707963267949</v>
      </c>
      <c r="AW343" t="str">
        <f t="shared" si="329"/>
        <v>1+1,28539718171983i</v>
      </c>
      <c r="AX343">
        <f t="shared" si="354"/>
        <v>1.62857174075117</v>
      </c>
      <c r="AY343">
        <f t="shared" si="355"/>
        <v>0.909633615761022</v>
      </c>
      <c r="AZ343" t="str">
        <f t="shared" si="330"/>
        <v>1+61,4529248366907i</v>
      </c>
      <c r="BA343">
        <f t="shared" si="356"/>
        <v>61.4610606073793</v>
      </c>
      <c r="BB343">
        <f t="shared" si="357"/>
        <v>1.55452514441194</v>
      </c>
      <c r="BC343" s="30" t="str">
        <f t="shared" si="358"/>
        <v>-0,0909896283123449+0,120968727310226i</v>
      </c>
      <c r="BD343" s="32">
        <f t="shared" si="359"/>
        <v>-16.3992666059742</v>
      </c>
      <c r="BE343" s="31">
        <f t="shared" si="360"/>
        <v>126.949562835438</v>
      </c>
      <c r="BF343" s="30" t="str">
        <f t="shared" si="361"/>
        <v>0,127860407579203+0,102938910587035i</v>
      </c>
      <c r="BG343" s="68">
        <f t="shared" si="362"/>
        <v>-15.6952659684185</v>
      </c>
      <c r="BH343" s="31">
        <f t="shared" si="363"/>
        <v>38.8371326251018</v>
      </c>
      <c r="BI343" s="30" t="str">
        <f t="shared" si="316"/>
        <v>0,0268905471835604+0,660037288816094i</v>
      </c>
      <c r="BJ343" s="68">
        <f t="shared" si="364"/>
        <v>-3.60142801272695</v>
      </c>
      <c r="BK343" s="31">
        <f t="shared" si="317"/>
        <v>87.6670056414092</v>
      </c>
      <c r="BL343" s="32">
        <f t="shared" si="365"/>
        <v>-15.6952659684185</v>
      </c>
      <c r="BM343" s="31">
        <f t="shared" si="366"/>
        <v>38.8371326251018</v>
      </c>
      <c r="BO343">
        <f t="shared" si="367"/>
        <v>0</v>
      </c>
      <c r="BP343">
        <f t="shared" si="368"/>
        <v>0</v>
      </c>
    </row>
    <row r="344" spans="14:68">
      <c r="N344" s="7">
        <v>26</v>
      </c>
      <c r="O344" s="18">
        <f t="shared" si="318"/>
        <v>18197.0085860998</v>
      </c>
      <c r="P344" s="86" t="str">
        <f t="shared" si="319"/>
        <v>75</v>
      </c>
      <c r="Q344" s="4" t="str">
        <f t="shared" si="320"/>
        <v>1+186,747455738578i</v>
      </c>
      <c r="R344" s="4">
        <f t="shared" si="331"/>
        <v>186.750133132033</v>
      </c>
      <c r="S344" s="4">
        <f t="shared" si="332"/>
        <v>1.56544155267946</v>
      </c>
      <c r="T344" s="4" t="str">
        <f t="shared" si="321"/>
        <v>1+1,79277557509035i</v>
      </c>
      <c r="U344" s="4">
        <f t="shared" si="333"/>
        <v>2.05281374280292</v>
      </c>
      <c r="V344" s="4">
        <f t="shared" si="334"/>
        <v>1.06198870845611</v>
      </c>
      <c r="W344" t="str">
        <f t="shared" si="322"/>
        <v>1-0,940406830683555i</v>
      </c>
      <c r="X344" s="4">
        <f t="shared" si="335"/>
        <v>1.37272175155648</v>
      </c>
      <c r="Y344" s="4">
        <f t="shared" si="336"/>
        <v>-0.754696125699219</v>
      </c>
      <c r="Z344" t="str">
        <f t="shared" si="323"/>
        <v>0,997296888804224+0,295101425163573i</v>
      </c>
      <c r="AA344" s="4">
        <f t="shared" si="337"/>
        <v>1.04004131434869</v>
      </c>
      <c r="AB344" s="4">
        <f t="shared" si="338"/>
        <v>0.287692271236839</v>
      </c>
      <c r="AC344" s="67" t="str">
        <f t="shared" si="339"/>
        <v>0,0271516233656198-1,08779377665232i</v>
      </c>
      <c r="AD344" s="68">
        <f t="shared" si="340"/>
        <v>0.733636274122509</v>
      </c>
      <c r="AE344" s="31">
        <f t="shared" si="341"/>
        <v>-88.570178915699</v>
      </c>
      <c r="AF344" s="32" t="str">
        <f t="shared" si="342"/>
        <v>249,914648392112</v>
      </c>
      <c r="AG344" s="32" t="str">
        <f t="shared" si="324"/>
        <v>1+120,051935831943i</v>
      </c>
      <c r="AH344" s="32">
        <f t="shared" si="343"/>
        <v>120.056100623821</v>
      </c>
      <c r="AI344" s="32">
        <f t="shared" si="344"/>
        <v>1.56246679119925</v>
      </c>
      <c r="AJ344" s="32" t="str">
        <f t="shared" si="325"/>
        <v>1+1,79277557509035i</v>
      </c>
      <c r="AK344" s="32">
        <f t="shared" si="345"/>
        <v>2.05281374280292</v>
      </c>
      <c r="AL344" s="32">
        <f t="shared" si="346"/>
        <v>1.06198870845611</v>
      </c>
      <c r="AM344" s="32" t="str">
        <f t="shared" si="326"/>
        <v>1-0,181424281238962i</v>
      </c>
      <c r="AN344" s="32">
        <f t="shared" si="347"/>
        <v>1.01632414603958</v>
      </c>
      <c r="AO344" s="32">
        <f t="shared" si="348"/>
        <v>-0.179472177614542</v>
      </c>
      <c r="AP344" s="30" t="str">
        <f t="shared" si="349"/>
        <v>3,37712978833864-2,73067660672984i</v>
      </c>
      <c r="AQ344" s="32">
        <f t="shared" si="350"/>
        <v>12.7557853826352</v>
      </c>
      <c r="AR344" s="31">
        <f t="shared" si="351"/>
        <v>-38.9582801973169</v>
      </c>
      <c r="AS344" t="str">
        <f t="shared" si="327"/>
        <v>-0,000100699300699301</v>
      </c>
      <c r="AT344" t="str">
        <f t="shared" si="328"/>
        <v>0,0256911142680358i</v>
      </c>
      <c r="AU344">
        <f t="shared" si="352"/>
        <v>0.0256911142680358</v>
      </c>
      <c r="AV344">
        <f t="shared" si="353"/>
        <v>1.5707963267949</v>
      </c>
      <c r="AW344" t="str">
        <f t="shared" si="329"/>
        <v>1+1,31533792835134i</v>
      </c>
      <c r="AX344">
        <f t="shared" si="354"/>
        <v>1.65230562117291</v>
      </c>
      <c r="AY344">
        <f t="shared" si="355"/>
        <v>0.920760519035682</v>
      </c>
      <c r="AZ344" t="str">
        <f t="shared" si="330"/>
        <v>1+62,8843473405416i</v>
      </c>
      <c r="BA344">
        <f t="shared" si="356"/>
        <v>62.8922979421637</v>
      </c>
      <c r="BB344">
        <f t="shared" si="357"/>
        <v>1.5548954585874</v>
      </c>
      <c r="BC344" s="30" t="str">
        <f t="shared" si="358"/>
        <v>-0,088394434021532+0,120188167651915i</v>
      </c>
      <c r="BD344" s="32">
        <f t="shared" si="359"/>
        <v>-16.5249880666488</v>
      </c>
      <c r="BE344" s="31">
        <f t="shared" si="360"/>
        <v>126.333255678097</v>
      </c>
      <c r="BF344" s="30" t="str">
        <f t="shared" si="361"/>
        <v>0,128339888418829+0,0994182190804154i</v>
      </c>
      <c r="BG344" s="68">
        <f t="shared" si="362"/>
        <v>-15.7913517925263</v>
      </c>
      <c r="BH344" s="31">
        <f t="shared" si="363"/>
        <v>37.7630767623981</v>
      </c>
      <c r="BI344" s="30" t="str">
        <f t="shared" si="316"/>
        <v>0,0296755415553581+0,647267654330842i</v>
      </c>
      <c r="BJ344" s="68">
        <f t="shared" si="364"/>
        <v>-3.76920268401361</v>
      </c>
      <c r="BK344" s="31">
        <f t="shared" si="317"/>
        <v>87.3749754807802</v>
      </c>
      <c r="BL344" s="32">
        <f t="shared" si="365"/>
        <v>-15.7913517925263</v>
      </c>
      <c r="BM344" s="31">
        <f t="shared" si="366"/>
        <v>37.7630767623981</v>
      </c>
      <c r="BO344">
        <f t="shared" si="367"/>
        <v>0</v>
      </c>
      <c r="BP344">
        <f t="shared" si="368"/>
        <v>0</v>
      </c>
    </row>
    <row r="345" spans="14:68">
      <c r="N345" s="7">
        <v>27</v>
      </c>
      <c r="O345" s="18">
        <f t="shared" si="318"/>
        <v>18620.8713666287</v>
      </c>
      <c r="P345" s="86" t="str">
        <f t="shared" si="319"/>
        <v>75</v>
      </c>
      <c r="Q345" s="4" t="str">
        <f t="shared" si="320"/>
        <v>1+191,097362783549i</v>
      </c>
      <c r="R345" s="4">
        <f t="shared" si="331"/>
        <v>191.099979232933</v>
      </c>
      <c r="S345" s="4">
        <f t="shared" si="332"/>
        <v>1.56556343996843</v>
      </c>
      <c r="T345" s="4" t="str">
        <f t="shared" si="321"/>
        <v>1+1,83453468272207i</v>
      </c>
      <c r="U345" s="4">
        <f t="shared" si="333"/>
        <v>2.08938208619442</v>
      </c>
      <c r="V345" s="4">
        <f t="shared" si="334"/>
        <v>1.07172493470889</v>
      </c>
      <c r="W345" t="str">
        <f t="shared" si="322"/>
        <v>1-0,962311719731443i</v>
      </c>
      <c r="X345" s="4">
        <f t="shared" si="335"/>
        <v>1.38781981753126</v>
      </c>
      <c r="Y345" s="4">
        <f t="shared" si="336"/>
        <v>-0.766194462550964</v>
      </c>
      <c r="Z345" t="str">
        <f t="shared" si="323"/>
        <v>0,997169495098347+0,30197522038195i</v>
      </c>
      <c r="AA345" s="4">
        <f t="shared" si="337"/>
        <v>1.04189060638794</v>
      </c>
      <c r="AB345" s="4">
        <f t="shared" si="338"/>
        <v>0.294053286492127</v>
      </c>
      <c r="AC345" s="67" t="str">
        <f t="shared" si="339"/>
        <v>0,018251038253347-1,09211611772048i</v>
      </c>
      <c r="AD345" s="68">
        <f t="shared" si="340"/>
        <v>0.76658905337376</v>
      </c>
      <c r="AE345" s="31">
        <f t="shared" si="341"/>
        <v>-89.0425833708358</v>
      </c>
      <c r="AF345" s="32" t="str">
        <f t="shared" si="342"/>
        <v>249,914648392112</v>
      </c>
      <c r="AG345" s="32" t="str">
        <f t="shared" si="324"/>
        <v>1+122,848304646567i</v>
      </c>
      <c r="AH345" s="32">
        <f t="shared" si="343"/>
        <v>122.852374639385</v>
      </c>
      <c r="AI345" s="32">
        <f t="shared" si="344"/>
        <v>1.56265638610489</v>
      </c>
      <c r="AJ345" s="32" t="str">
        <f t="shared" si="325"/>
        <v>1+1,83453468272207i</v>
      </c>
      <c r="AK345" s="32">
        <f t="shared" si="345"/>
        <v>2.08938208619442</v>
      </c>
      <c r="AL345" s="32">
        <f t="shared" si="346"/>
        <v>1.07172493470889</v>
      </c>
      <c r="AM345" s="32" t="str">
        <f t="shared" si="326"/>
        <v>1-0,185650195621404i</v>
      </c>
      <c r="AN345" s="32">
        <f t="shared" si="347"/>
        <v>1.01708701453429</v>
      </c>
      <c r="AO345" s="32">
        <f t="shared" si="348"/>
        <v>-0.183560372121539</v>
      </c>
      <c r="AP345" s="30" t="str">
        <f t="shared" si="349"/>
        <v>3,37635994923048-2,69970880656267i</v>
      </c>
      <c r="AQ345" s="32">
        <f t="shared" si="350"/>
        <v>12.7156826679109</v>
      </c>
      <c r="AR345" s="31">
        <f t="shared" si="351"/>
        <v>-38.6455348036378</v>
      </c>
      <c r="AS345" t="str">
        <f t="shared" si="327"/>
        <v>-0,000100699300699301</v>
      </c>
      <c r="AT345" t="str">
        <f t="shared" si="328"/>
        <v>0,0262895371943653i</v>
      </c>
      <c r="AU345">
        <f t="shared" si="352"/>
        <v>0.0262895371943653</v>
      </c>
      <c r="AV345">
        <f t="shared" si="353"/>
        <v>1.5707963267949</v>
      </c>
      <c r="AW345" t="str">
        <f t="shared" si="329"/>
        <v>1+1,34597608456302i</v>
      </c>
      <c r="AX345">
        <f t="shared" si="354"/>
        <v>1.67679802606504</v>
      </c>
      <c r="AY345">
        <f t="shared" si="355"/>
        <v>0.931819123978519</v>
      </c>
      <c r="AZ345" t="str">
        <f t="shared" si="330"/>
        <v>1+64,3491119577256i</v>
      </c>
      <c r="BA345">
        <f t="shared" si="356"/>
        <v>64.356881603663</v>
      </c>
      <c r="BB345">
        <f t="shared" si="357"/>
        <v>1.55525734759754</v>
      </c>
      <c r="BC345" s="30" t="str">
        <f t="shared" si="358"/>
        <v>-0,0858309999158615+0,11935686777781i</v>
      </c>
      <c r="BD345" s="32">
        <f t="shared" si="359"/>
        <v>-16.6528449577855</v>
      </c>
      <c r="BE345" s="31">
        <f t="shared" si="360"/>
        <v>125.720379000503</v>
      </c>
      <c r="BF345" s="30" t="str">
        <f t="shared" si="361"/>
        <v>0,128785054197991+0,09591580516779i</v>
      </c>
      <c r="BG345" s="68">
        <f t="shared" si="362"/>
        <v>-15.8862559044117</v>
      </c>
      <c r="BH345" s="31">
        <f t="shared" si="363"/>
        <v>36.6777956296674</v>
      </c>
      <c r="BI345" s="30" t="str">
        <f t="shared" si="316"/>
        <v>0,0324324365451704+0,634710454379527i</v>
      </c>
      <c r="BJ345" s="68">
        <f t="shared" si="364"/>
        <v>-3.93716228987462</v>
      </c>
      <c r="BK345" s="31">
        <f t="shared" si="317"/>
        <v>87.0748441968653</v>
      </c>
      <c r="BL345" s="32">
        <f t="shared" si="365"/>
        <v>-15.8862559044117</v>
      </c>
      <c r="BM345" s="31">
        <f t="shared" si="366"/>
        <v>36.6777956296674</v>
      </c>
      <c r="BO345">
        <f t="shared" si="367"/>
        <v>0</v>
      </c>
      <c r="BP345">
        <f t="shared" si="368"/>
        <v>0</v>
      </c>
    </row>
    <row r="346" spans="14:68">
      <c r="N346" s="7">
        <v>28</v>
      </c>
      <c r="O346" s="18">
        <f t="shared" si="318"/>
        <v>19054.6071796325</v>
      </c>
      <c r="P346" s="86" t="str">
        <f t="shared" si="319"/>
        <v>75</v>
      </c>
      <c r="Q346" s="4" t="str">
        <f t="shared" si="320"/>
        <v>1+195,548592179738i</v>
      </c>
      <c r="R346" s="4">
        <f t="shared" si="331"/>
        <v>195.55114907225</v>
      </c>
      <c r="S346" s="4">
        <f t="shared" si="332"/>
        <v>1.56568255291423</v>
      </c>
      <c r="T346" s="4" t="str">
        <f t="shared" si="321"/>
        <v>1+1,87726648492549i</v>
      </c>
      <c r="U346" s="4">
        <f t="shared" si="333"/>
        <v>2.12700010705794</v>
      </c>
      <c r="V346" s="4">
        <f t="shared" si="334"/>
        <v>1.08134044912247</v>
      </c>
      <c r="W346" t="str">
        <f t="shared" si="322"/>
        <v>1-0,984726839190826i</v>
      </c>
      <c r="X346" s="4">
        <f t="shared" si="335"/>
        <v>1.40345536011045</v>
      </c>
      <c r="Y346" s="4">
        <f t="shared" si="336"/>
        <v>-0.777702968756822</v>
      </c>
      <c r="Z346" t="str">
        <f t="shared" si="323"/>
        <v>0,997036097512081+0,309009126859286i</v>
      </c>
      <c r="AA346" s="4">
        <f t="shared" si="337"/>
        <v>1.04382355799458</v>
      </c>
      <c r="AB346" s="4">
        <f t="shared" si="338"/>
        <v>0.300539728001894</v>
      </c>
      <c r="AC346" s="67" t="str">
        <f t="shared" si="339"/>
        <v>0,00900655938287697-1,09679451529064i</v>
      </c>
      <c r="AD346" s="68">
        <f t="shared" si="340"/>
        <v>0.802798244881007</v>
      </c>
      <c r="AE346" s="31">
        <f t="shared" si="341"/>
        <v>-89.5295142028338</v>
      </c>
      <c r="AF346" s="32" t="str">
        <f t="shared" si="342"/>
        <v>249,914648392112</v>
      </c>
      <c r="AG346" s="32" t="str">
        <f t="shared" si="324"/>
        <v>1+125,709809258403i</v>
      </c>
      <c r="AH346" s="32">
        <f t="shared" si="343"/>
        <v>125.713786609839</v>
      </c>
      <c r="AI346" s="32">
        <f t="shared" si="344"/>
        <v>1.56284166586907</v>
      </c>
      <c r="AJ346" s="32" t="str">
        <f t="shared" si="325"/>
        <v>1+1,87726648492549i</v>
      </c>
      <c r="AK346" s="32">
        <f t="shared" si="345"/>
        <v>2.12700010705794</v>
      </c>
      <c r="AL346" s="32">
        <f t="shared" si="346"/>
        <v>1.08134044912247</v>
      </c>
      <c r="AM346" s="32" t="str">
        <f t="shared" si="326"/>
        <v>1-0,189974544194933i</v>
      </c>
      <c r="AN346" s="32">
        <f t="shared" si="347"/>
        <v>1.01788522311805</v>
      </c>
      <c r="AO346" s="32">
        <f t="shared" si="348"/>
        <v>-0.187737377530009</v>
      </c>
      <c r="AP346" s="30" t="str">
        <f t="shared" si="349"/>
        <v>3,37562475410165-2,67017186354039i</v>
      </c>
      <c r="AQ346" s="32">
        <f t="shared" si="350"/>
        <v>12.6775025184837</v>
      </c>
      <c r="AR346" s="31">
        <f t="shared" si="351"/>
        <v>-38.344546939318</v>
      </c>
      <c r="AS346" t="str">
        <f t="shared" si="327"/>
        <v>-0,000100699300699301</v>
      </c>
      <c r="AT346" t="str">
        <f t="shared" si="328"/>
        <v>0,0269018991812982i</v>
      </c>
      <c r="AU346">
        <f t="shared" si="352"/>
        <v>0.0269018991812982</v>
      </c>
      <c r="AV346">
        <f t="shared" si="353"/>
        <v>1.5707963267949</v>
      </c>
      <c r="AW346" t="str">
        <f t="shared" si="329"/>
        <v>1+1,37732789511083i</v>
      </c>
      <c r="AX346">
        <f t="shared" si="354"/>
        <v>1.70206701708553</v>
      </c>
      <c r="AY346">
        <f t="shared" si="355"/>
        <v>0.942804475312562</v>
      </c>
      <c r="AZ346" t="str">
        <f t="shared" si="330"/>
        <v>1+65,8479953258302i</v>
      </c>
      <c r="BA346">
        <f t="shared" si="356"/>
        <v>65.8555881336623</v>
      </c>
      <c r="BB346">
        <f t="shared" si="357"/>
        <v>1.55561100294132</v>
      </c>
      <c r="BC346" s="30" t="str">
        <f t="shared" si="358"/>
        <v>-0,0833014129960566+0,118476563973139i</v>
      </c>
      <c r="BD346" s="32">
        <f t="shared" si="359"/>
        <v>-16.7828101895293</v>
      </c>
      <c r="BE346" s="31">
        <f t="shared" si="360"/>
        <v>125.111227691195</v>
      </c>
      <c r="BF346" s="30" t="str">
        <f t="shared" si="361"/>
        <v>0,129194186433393+0,0924315990989386i</v>
      </c>
      <c r="BG346" s="68">
        <f t="shared" si="362"/>
        <v>-15.9800119446483</v>
      </c>
      <c r="BH346" s="31">
        <f t="shared" si="363"/>
        <v>35.5817134883614</v>
      </c>
      <c r="BI346" s="30" t="str">
        <f t="shared" si="316"/>
        <v>0,0351584758488853+0,622361511303864i</v>
      </c>
      <c r="BJ346" s="68">
        <f t="shared" si="364"/>
        <v>-4.1053076710456</v>
      </c>
      <c r="BK346" s="31">
        <f t="shared" si="317"/>
        <v>86.7666807518772</v>
      </c>
      <c r="BL346" s="32">
        <f t="shared" si="365"/>
        <v>-15.9800119446483</v>
      </c>
      <c r="BM346" s="31">
        <f t="shared" si="366"/>
        <v>35.5817134883614</v>
      </c>
      <c r="BO346">
        <f t="shared" si="367"/>
        <v>0</v>
      </c>
      <c r="BP346">
        <f t="shared" si="368"/>
        <v>0</v>
      </c>
    </row>
    <row r="347" spans="14:68">
      <c r="N347" s="7">
        <v>29</v>
      </c>
      <c r="O347" s="18">
        <f t="shared" si="318"/>
        <v>19498.4459975805</v>
      </c>
      <c r="P347" s="86" t="str">
        <f t="shared" si="319"/>
        <v>75</v>
      </c>
      <c r="Q347" s="4" t="str">
        <f t="shared" si="320"/>
        <v>1+200,103504027892i</v>
      </c>
      <c r="R347" s="4">
        <f t="shared" si="331"/>
        <v>200.10600271916</v>
      </c>
      <c r="S347" s="4">
        <f t="shared" si="332"/>
        <v>1.56579895465857</v>
      </c>
      <c r="T347" s="4" t="str">
        <f t="shared" si="321"/>
        <v>1+1,92099363866777i</v>
      </c>
      <c r="U347" s="4">
        <f t="shared" si="333"/>
        <v>2.16569078120632</v>
      </c>
      <c r="V347" s="4">
        <f t="shared" si="334"/>
        <v>1.09083323691423</v>
      </c>
      <c r="W347" t="str">
        <f t="shared" si="322"/>
        <v>1-1,00766407385474i</v>
      </c>
      <c r="X347" s="4">
        <f t="shared" si="335"/>
        <v>1.41964322480598</v>
      </c>
      <c r="Y347" s="4">
        <f t="shared" si="336"/>
        <v>-0.789215553331531</v>
      </c>
      <c r="Z347" t="str">
        <f t="shared" si="323"/>
        <v>0,996896413091261+0,3162068740659i</v>
      </c>
      <c r="AA347" s="4">
        <f t="shared" si="337"/>
        <v>1.04584379600433</v>
      </c>
      <c r="AB347" s="4">
        <f t="shared" si="338"/>
        <v>0.307153070769454</v>
      </c>
      <c r="AC347" s="67" t="str">
        <f t="shared" si="339"/>
        <v>-0,000592794803679886-1,10181814803952i</v>
      </c>
      <c r="AD347" s="68">
        <f t="shared" si="340"/>
        <v>0.842199684265489</v>
      </c>
      <c r="AE347" s="31">
        <f t="shared" si="341"/>
        <v>-90.0308259917042</v>
      </c>
      <c r="AF347" s="32" t="str">
        <f t="shared" si="342"/>
        <v>249,914648392112</v>
      </c>
      <c r="AG347" s="32" t="str">
        <f t="shared" si="324"/>
        <v>1+128,637966875074i</v>
      </c>
      <c r="AH347" s="32">
        <f t="shared" si="343"/>
        <v>128.641853693705</v>
      </c>
      <c r="AI347" s="32">
        <f t="shared" si="344"/>
        <v>1.56302272867866</v>
      </c>
      <c r="AJ347" s="32" t="str">
        <f t="shared" si="325"/>
        <v>1+1,92099363866777i</v>
      </c>
      <c r="AK347" s="32">
        <f t="shared" si="345"/>
        <v>2.16569078120632</v>
      </c>
      <c r="AL347" s="32">
        <f t="shared" si="346"/>
        <v>1.09083323691423</v>
      </c>
      <c r="AM347" s="32" t="str">
        <f t="shared" si="326"/>
        <v>1-0,194399619786404i</v>
      </c>
      <c r="AN347" s="32">
        <f t="shared" si="347"/>
        <v>1.01872037977705</v>
      </c>
      <c r="AO347" s="32">
        <f t="shared" si="348"/>
        <v>-0.192004825237256</v>
      </c>
      <c r="AP347" s="30" t="str">
        <f t="shared" si="349"/>
        <v>3,37492264411108-2,64205015443797i</v>
      </c>
      <c r="AQ347" s="32">
        <f t="shared" si="350"/>
        <v>12.6412173038642</v>
      </c>
      <c r="AR347" s="31">
        <f t="shared" si="351"/>
        <v>-38.0555311407711</v>
      </c>
      <c r="AS347" t="str">
        <f t="shared" si="327"/>
        <v>-0,000100699300699301</v>
      </c>
      <c r="AT347" t="str">
        <f t="shared" si="328"/>
        <v>0,0275285249112658i</v>
      </c>
      <c r="AU347">
        <f t="shared" si="352"/>
        <v>0.0275285249112658</v>
      </c>
      <c r="AV347">
        <f t="shared" si="353"/>
        <v>1.5707963267949</v>
      </c>
      <c r="AW347" t="str">
        <f t="shared" si="329"/>
        <v>1+1,4094099831397i</v>
      </c>
      <c r="AX347">
        <f t="shared" si="354"/>
        <v>1.72813092691898</v>
      </c>
      <c r="AY347">
        <f t="shared" si="355"/>
        <v>0.953711792407477</v>
      </c>
      <c r="AZ347" t="str">
        <f t="shared" si="330"/>
        <v>1+67,3817921726575i</v>
      </c>
      <c r="BA347">
        <f t="shared" si="356"/>
        <v>67.3892121663342</v>
      </c>
      <c r="BB347">
        <f t="shared" si="357"/>
        <v>1.55595661177743</v>
      </c>
      <c r="BC347" s="30" t="str">
        <f t="shared" si="358"/>
        <v>-0,0808076347619595+0,117549085569917i</v>
      </c>
      <c r="BD347" s="32">
        <f t="shared" si="359"/>
        <v>-16.9148549893775</v>
      </c>
      <c r="BE347" s="31">
        <f t="shared" si="360"/>
        <v>124.506086383517</v>
      </c>
      <c r="BF347" s="30" t="str">
        <f t="shared" si="361"/>
        <v>0,12956561811237+0,088965635993773i</v>
      </c>
      <c r="BG347" s="68">
        <f t="shared" si="362"/>
        <v>-16.072655305112</v>
      </c>
      <c r="BH347" s="31">
        <f t="shared" si="363"/>
        <v>34.4752603918128</v>
      </c>
      <c r="BI347" s="30" t="str">
        <f t="shared" si="316"/>
        <v>0,0378510633088466+0,610216894587066i</v>
      </c>
      <c r="BJ347" s="68">
        <f t="shared" si="364"/>
        <v>-4.27363768551334</v>
      </c>
      <c r="BK347" s="31">
        <f t="shared" si="317"/>
        <v>86.4505552427459</v>
      </c>
      <c r="BL347" s="32">
        <f t="shared" si="365"/>
        <v>-16.072655305112</v>
      </c>
      <c r="BM347" s="31">
        <f t="shared" si="366"/>
        <v>34.4752603918128</v>
      </c>
      <c r="BO347">
        <f t="shared" si="367"/>
        <v>0</v>
      </c>
      <c r="BP347">
        <f t="shared" si="368"/>
        <v>0</v>
      </c>
    </row>
    <row r="348" spans="14:68">
      <c r="N348" s="7">
        <v>30</v>
      </c>
      <c r="O348" s="18">
        <f t="shared" si="318"/>
        <v>19952.6231496888</v>
      </c>
      <c r="P348" s="86" t="str">
        <f t="shared" si="319"/>
        <v>75</v>
      </c>
      <c r="Q348" s="4" t="str">
        <f t="shared" si="320"/>
        <v>1+204,764513402566i</v>
      </c>
      <c r="R348" s="4">
        <f t="shared" si="331"/>
        <v>204.766955217363</v>
      </c>
      <c r="S348" s="4">
        <f t="shared" si="332"/>
        <v>1.56591270690659</v>
      </c>
      <c r="T348" s="4" t="str">
        <f t="shared" si="321"/>
        <v>1+1,96573932866464i</v>
      </c>
      <c r="U348" s="4">
        <f t="shared" si="333"/>
        <v>2.20547752386165</v>
      </c>
      <c r="V348" s="4">
        <f t="shared" si="334"/>
        <v>1.10020148704884</v>
      </c>
      <c r="W348" t="str">
        <f t="shared" si="322"/>
        <v>1-1,03113558534864i</v>
      </c>
      <c r="X348" s="4">
        <f t="shared" si="335"/>
        <v>1.43639848070523</v>
      </c>
      <c r="Y348" s="4">
        <f t="shared" si="336"/>
        <v>-0.800726114490619</v>
      </c>
      <c r="Z348" t="str">
        <f t="shared" si="323"/>
        <v>0,996750145546502+0,323572278342639i</v>
      </c>
      <c r="AA348" s="4">
        <f t="shared" si="337"/>
        <v>1.04795509062117</v>
      </c>
      <c r="AB348" s="4">
        <f t="shared" si="338"/>
        <v>0.313894740366402</v>
      </c>
      <c r="AC348" s="67" t="str">
        <f t="shared" si="339"/>
        <v>-0,0105580684312167-1,10717570359708i</v>
      </c>
      <c r="AD348" s="68">
        <f t="shared" si="340"/>
        <v>0.884725849030524</v>
      </c>
      <c r="AE348" s="31">
        <f t="shared" si="341"/>
        <v>-90.5463581103091</v>
      </c>
      <c r="AF348" s="32" t="str">
        <f t="shared" si="342"/>
        <v>249,914648392112</v>
      </c>
      <c r="AG348" s="32" t="str">
        <f t="shared" si="324"/>
        <v>1+131,634330044507i</v>
      </c>
      <c r="AH348" s="32">
        <f t="shared" si="343"/>
        <v>131.638128390927</v>
      </c>
      <c r="AI348" s="32">
        <f t="shared" si="344"/>
        <v>1.56319967048805</v>
      </c>
      <c r="AJ348" s="32" t="str">
        <f t="shared" si="325"/>
        <v>1+1,96573932866464i</v>
      </c>
      <c r="AK348" s="32">
        <f t="shared" si="345"/>
        <v>2.20547752386165</v>
      </c>
      <c r="AL348" s="32">
        <f t="shared" si="346"/>
        <v>1.10020148704884</v>
      </c>
      <c r="AM348" s="32" t="str">
        <f t="shared" si="326"/>
        <v>1-0,198927768629471i</v>
      </c>
      <c r="AN348" s="32">
        <f t="shared" si="347"/>
        <v>1.019594162955</v>
      </c>
      <c r="AO348" s="32">
        <f t="shared" si="348"/>
        <v>-0.196364355880348</v>
      </c>
      <c r="AP348" s="30" t="str">
        <f t="shared" si="349"/>
        <v>3,37425213054242-2,61532880389351i</v>
      </c>
      <c r="AQ348" s="32">
        <f t="shared" si="350"/>
        <v>12.6067998046138</v>
      </c>
      <c r="AR348" s="31">
        <f t="shared" si="351"/>
        <v>-37.7786906720392</v>
      </c>
      <c r="AS348" t="str">
        <f t="shared" si="327"/>
        <v>-0,000100699300699301</v>
      </c>
      <c r="AT348" t="str">
        <f t="shared" si="328"/>
        <v>0,0281697466295244i</v>
      </c>
      <c r="AU348">
        <f t="shared" si="352"/>
        <v>0.0281697466295244</v>
      </c>
      <c r="AV348">
        <f t="shared" si="353"/>
        <v>1.5707963267949</v>
      </c>
      <c r="AW348" t="str">
        <f t="shared" si="329"/>
        <v>1+1,44223935899739i</v>
      </c>
      <c r="AX348">
        <f t="shared" si="354"/>
        <v>1.7550083671143</v>
      </c>
      <c r="AY348">
        <f t="shared" si="355"/>
        <v>0.964536477569643</v>
      </c>
      <c r="AZ348" t="str">
        <f t="shared" si="330"/>
        <v>1+68,9513157375987i</v>
      </c>
      <c r="BA348">
        <f t="shared" si="356"/>
        <v>68.9585668495657</v>
      </c>
      <c r="BB348">
        <f t="shared" si="357"/>
        <v>1.55629435702181</v>
      </c>
      <c r="BC348" s="30" t="str">
        <f t="shared" si="358"/>
        <v>-0,0783514967901753+0,116576344719819i</v>
      </c>
      <c r="BD348" s="32">
        <f t="shared" si="359"/>
        <v>-17.0489490082974</v>
      </c>
      <c r="BE348" s="31">
        <f t="shared" si="360"/>
        <v>123.90522898622</v>
      </c>
      <c r="BF348" s="30" t="str">
        <f t="shared" si="361"/>
        <v>0,12989773695274+0,0855180525615337i</v>
      </c>
      <c r="BG348" s="68">
        <f t="shared" si="362"/>
        <v>-16.1642231592669</v>
      </c>
      <c r="BH348" s="31">
        <f t="shared" si="363"/>
        <v>33.3588708759111</v>
      </c>
      <c r="BI348" s="30" t="str">
        <f t="shared" si="316"/>
        <v>0,0405077672229251+0,598272905925212i</v>
      </c>
      <c r="BJ348" s="68">
        <f t="shared" si="364"/>
        <v>-4.4421492036836</v>
      </c>
      <c r="BK348" s="31">
        <f t="shared" si="317"/>
        <v>86.126538314181</v>
      </c>
      <c r="BL348" s="32">
        <f t="shared" si="365"/>
        <v>-16.1642231592669</v>
      </c>
      <c r="BM348" s="31">
        <f t="shared" si="366"/>
        <v>33.3588708759111</v>
      </c>
      <c r="BO348">
        <f t="shared" si="367"/>
        <v>0</v>
      </c>
      <c r="BP348">
        <f t="shared" si="368"/>
        <v>0</v>
      </c>
    </row>
    <row r="349" spans="14:68">
      <c r="N349" s="7">
        <v>31</v>
      </c>
      <c r="O349" s="18">
        <f t="shared" si="318"/>
        <v>20417.3794466953</v>
      </c>
      <c r="P349" s="86" t="str">
        <f t="shared" si="319"/>
        <v>75</v>
      </c>
      <c r="Q349" s="4" t="str">
        <f t="shared" si="320"/>
        <v>1+209,534091632624i</v>
      </c>
      <c r="R349" s="4">
        <f t="shared" si="331"/>
        <v>209.536477865571</v>
      </c>
      <c r="S349" s="4">
        <f t="shared" si="332"/>
        <v>1.56602386995944</v>
      </c>
      <c r="T349" s="4" t="str">
        <f t="shared" si="321"/>
        <v>1+2,01152727967319i</v>
      </c>
      <c r="U349" s="4">
        <f t="shared" si="333"/>
        <v>2.24638420508813</v>
      </c>
      <c r="V349" s="4">
        <f t="shared" si="334"/>
        <v>1.10944358823619</v>
      </c>
      <c r="W349" t="str">
        <f t="shared" si="322"/>
        <v>1-1,05515381857857i</v>
      </c>
      <c r="X349" s="4">
        <f t="shared" si="335"/>
        <v>1.453736420697</v>
      </c>
      <c r="Y349" s="4">
        <f t="shared" si="336"/>
        <v>-0.812228555808588</v>
      </c>
      <c r="Z349" t="str">
        <f t="shared" si="323"/>
        <v>0,996596984624732+0,331109244924339i</v>
      </c>
      <c r="AA349" s="4">
        <f t="shared" si="337"/>
        <v>1.05016135990498</v>
      </c>
      <c r="AB349" s="4">
        <f t="shared" si="338"/>
        <v>0.320766107830984</v>
      </c>
      <c r="AC349" s="67" t="str">
        <f t="shared" si="339"/>
        <v>-0,020900342965483-1,11285535146093i</v>
      </c>
      <c r="AD349" s="68">
        <f t="shared" si="340"/>
        <v>0.930305942188676</v>
      </c>
      <c r="AE349" s="31">
        <f t="shared" si="341"/>
        <v>-91.0759355890279</v>
      </c>
      <c r="AF349" s="32" t="str">
        <f t="shared" si="342"/>
        <v>249,914648392112</v>
      </c>
      <c r="AG349" s="32" t="str">
        <f t="shared" si="324"/>
        <v>1+134,700487478115i</v>
      </c>
      <c r="AH349" s="32">
        <f t="shared" si="343"/>
        <v>134.704199366025</v>
      </c>
      <c r="AI349" s="32">
        <f t="shared" si="344"/>
        <v>1.56337258506978</v>
      </c>
      <c r="AJ349" s="32" t="str">
        <f t="shared" si="325"/>
        <v>1+2,01152727967319i</v>
      </c>
      <c r="AK349" s="32">
        <f t="shared" si="345"/>
        <v>2.24638420508813</v>
      </c>
      <c r="AL349" s="32">
        <f t="shared" si="346"/>
        <v>1.10944358823619</v>
      </c>
      <c r="AM349" s="32" t="str">
        <f t="shared" si="326"/>
        <v>1-0,203561391608584i</v>
      </c>
      <c r="AN349" s="32">
        <f t="shared" si="347"/>
        <v>1.02050832439213</v>
      </c>
      <c r="AO349" s="32">
        <f t="shared" si="348"/>
        <v>-0.200817617781634</v>
      </c>
      <c r="AP349" s="30" t="str">
        <f t="shared" si="349"/>
        <v>3,37361179165086-2,58999367668874i</v>
      </c>
      <c r="AQ349" s="32">
        <f t="shared" si="350"/>
        <v>12.5742233191449</v>
      </c>
      <c r="AR349" s="31">
        <f t="shared" si="351"/>
        <v>-37.5142176679306</v>
      </c>
      <c r="AS349" t="str">
        <f t="shared" si="327"/>
        <v>-0,000100699300699301</v>
      </c>
      <c r="AT349" t="str">
        <f t="shared" si="328"/>
        <v>0,0288259043203168i</v>
      </c>
      <c r="AU349">
        <f t="shared" si="352"/>
        <v>0.0288259043203168</v>
      </c>
      <c r="AV349">
        <f t="shared" si="353"/>
        <v>1.5707963267949</v>
      </c>
      <c r="AW349" t="str">
        <f t="shared" si="329"/>
        <v>1+1,47583342925352i</v>
      </c>
      <c r="AX349">
        <f t="shared" si="354"/>
        <v>1.78271823654278</v>
      </c>
      <c r="AY349">
        <f t="shared" si="355"/>
        <v>0.975274123350563</v>
      </c>
      <c r="AZ349" t="str">
        <f t="shared" si="330"/>
        <v>1+70,5573982028222i</v>
      </c>
      <c r="BA349">
        <f t="shared" si="356"/>
        <v>70.5644842760975</v>
      </c>
      <c r="BB349">
        <f t="shared" si="357"/>
        <v>1.55662441744306</v>
      </c>
      <c r="BC349" s="30" t="str">
        <f t="shared" si="358"/>
        <v>-0,0759346972483705+0,11556032601256i</v>
      </c>
      <c r="BD349" s="32">
        <f t="shared" si="359"/>
        <v>-17.1850604301114</v>
      </c>
      <c r="BE349" s="31">
        <f t="shared" si="360"/>
        <v>123.308918270189</v>
      </c>
      <c r="BF349" s="30" t="str">
        <f t="shared" si="361"/>
        <v>0,130188988435118+0,0820890837475491i</v>
      </c>
      <c r="BG349" s="68">
        <f t="shared" si="362"/>
        <v>-16.2547544879227</v>
      </c>
      <c r="BH349" s="31">
        <f t="shared" si="363"/>
        <v>32.2329826811615</v>
      </c>
      <c r="BI349" s="30" t="str">
        <f t="shared" si="316"/>
        <v>0,0431263236160789+0,586526064197543i</v>
      </c>
      <c r="BJ349" s="68">
        <f t="shared" si="364"/>
        <v>-4.61083711096645</v>
      </c>
      <c r="BK349" s="31">
        <f t="shared" si="317"/>
        <v>85.7947006022587</v>
      </c>
      <c r="BL349" s="32">
        <f t="shared" si="365"/>
        <v>-16.2547544879227</v>
      </c>
      <c r="BM349" s="31">
        <f t="shared" si="366"/>
        <v>32.2329826811615</v>
      </c>
      <c r="BO349">
        <f t="shared" si="367"/>
        <v>0</v>
      </c>
      <c r="BP349">
        <f t="shared" si="368"/>
        <v>0</v>
      </c>
    </row>
    <row r="350" spans="14:68">
      <c r="N350" s="7">
        <v>32</v>
      </c>
      <c r="O350" s="18">
        <f t="shared" si="318"/>
        <v>20892.9613085404</v>
      </c>
      <c r="P350" s="86" t="str">
        <f t="shared" si="319"/>
        <v>75</v>
      </c>
      <c r="Q350" s="4" t="str">
        <f t="shared" si="320"/>
        <v>1+214,414767611578i</v>
      </c>
      <c r="R350" s="4">
        <f t="shared" si="331"/>
        <v>214.417099527829</v>
      </c>
      <c r="S350" s="4">
        <f t="shared" si="332"/>
        <v>1.56613250274625</v>
      </c>
      <c r="T350" s="4" t="str">
        <f t="shared" si="321"/>
        <v>1+2,05838176907116i</v>
      </c>
      <c r="U350" s="4">
        <f t="shared" si="333"/>
        <v>2.28843516561962</v>
      </c>
      <c r="V350" s="4">
        <f t="shared" si="334"/>
        <v>1.11855812441222</v>
      </c>
      <c r="W350" t="str">
        <f t="shared" si="322"/>
        <v>1-1,07973150832973i</v>
      </c>
      <c r="X350" s="4">
        <f t="shared" si="335"/>
        <v>1.47167256211427</v>
      </c>
      <c r="Y350" s="4">
        <f t="shared" si="336"/>
        <v>-0.823716802342606</v>
      </c>
      <c r="Z350" t="str">
        <f t="shared" si="323"/>
        <v>0,996436605451101+0,33882177001045i</v>
      </c>
      <c r="AA350" s="4">
        <f t="shared" si="337"/>
        <v>1.05246667430182</v>
      </c>
      <c r="AB350" s="4">
        <f t="shared" si="338"/>
        <v>0.32776848436031</v>
      </c>
      <c r="AC350" s="67" t="str">
        <f t="shared" si="339"/>
        <v>-0,0316307094851665-1,11884471644737i</v>
      </c>
      <c r="AD350" s="68">
        <f t="shared" si="340"/>
        <v>0.978865983660118</v>
      </c>
      <c r="AE350" s="31">
        <f t="shared" si="341"/>
        <v>-91.6193699962203</v>
      </c>
      <c r="AF350" s="32" t="str">
        <f t="shared" si="342"/>
        <v>249,914648392112</v>
      </c>
      <c r="AG350" s="32" t="str">
        <f t="shared" si="324"/>
        <v>1+137,838064893158i</v>
      </c>
      <c r="AH350" s="32">
        <f t="shared" si="343"/>
        <v>137.841692290433</v>
      </c>
      <c r="AI350" s="32">
        <f t="shared" si="344"/>
        <v>1.56354156406406</v>
      </c>
      <c r="AJ350" s="32" t="str">
        <f t="shared" si="325"/>
        <v>1+2,05838176907116i</v>
      </c>
      <c r="AK350" s="32">
        <f t="shared" si="345"/>
        <v>2.28843516561962</v>
      </c>
      <c r="AL350" s="32">
        <f t="shared" si="346"/>
        <v>1.11855812441222</v>
      </c>
      <c r="AM350" s="32" t="str">
        <f t="shared" si="326"/>
        <v>1-0,208302945531984i</v>
      </c>
      <c r="AN350" s="32">
        <f t="shared" si="347"/>
        <v>1.02146469205612</v>
      </c>
      <c r="AO350" s="32">
        <f t="shared" si="348"/>
        <v>-0.205366265263355</v>
      </c>
      <c r="AP350" s="30" t="str">
        <f t="shared" si="349"/>
        <v>3,37300026965174-2,56603137041072i</v>
      </c>
      <c r="AQ350" s="32">
        <f t="shared" si="350"/>
        <v>12.5434617661117</v>
      </c>
      <c r="AR350" s="31">
        <f t="shared" si="351"/>
        <v>-37.2622932992192</v>
      </c>
      <c r="AS350" t="str">
        <f t="shared" si="327"/>
        <v>-0,000100699300699301</v>
      </c>
      <c r="AT350" t="str">
        <f t="shared" si="328"/>
        <v>0,0294973458871357i</v>
      </c>
      <c r="AU350">
        <f t="shared" si="352"/>
        <v>0.0294973458871357</v>
      </c>
      <c r="AV350">
        <f t="shared" si="353"/>
        <v>1.5707963267949</v>
      </c>
      <c r="AW350" t="str">
        <f t="shared" si="329"/>
        <v>1+1,51021000592881i</v>
      </c>
      <c r="AX350">
        <f t="shared" si="354"/>
        <v>1.8112797304689</v>
      </c>
      <c r="AY350">
        <f t="shared" si="355"/>
        <v>0.985920518863396</v>
      </c>
      <c r="AZ350" t="str">
        <f t="shared" si="330"/>
        <v>1+72,2008911345111i</v>
      </c>
      <c r="BA350">
        <f t="shared" si="356"/>
        <v>72.207815924715</v>
      </c>
      <c r="BB350">
        <f t="shared" si="357"/>
        <v>1.55694696775576</v>
      </c>
      <c r="BC350" s="30" t="str">
        <f t="shared" si="358"/>
        <v>-0,073558798337567+0,114503076033605i</v>
      </c>
      <c r="BD350" s="32">
        <f t="shared" si="359"/>
        <v>-17.3231560833757</v>
      </c>
      <c r="BE350" s="31">
        <f t="shared" si="360"/>
        <v>122.717405511875</v>
      </c>
      <c r="BF350" s="30" t="str">
        <f t="shared" si="361"/>
        <v>0,130437878617464+0,0786790593350275i</v>
      </c>
      <c r="BG350" s="68">
        <f t="shared" si="362"/>
        <v>-16.3442900997156</v>
      </c>
      <c r="BH350" s="31">
        <f t="shared" si="363"/>
        <v>31.0980355156551</v>
      </c>
      <c r="BI350" s="30" t="str">
        <f t="shared" si="316"/>
        <v>0,0457046384828829+0,574973090441216i</v>
      </c>
      <c r="BJ350" s="68">
        <f t="shared" si="364"/>
        <v>-4.77969431726401</v>
      </c>
      <c r="BK350" s="31">
        <f t="shared" si="317"/>
        <v>85.4551122126562</v>
      </c>
      <c r="BL350" s="32">
        <f t="shared" si="365"/>
        <v>-16.3442900997156</v>
      </c>
      <c r="BM350" s="31">
        <f t="shared" si="366"/>
        <v>31.0980355156551</v>
      </c>
      <c r="BO350">
        <f t="shared" si="367"/>
        <v>0</v>
      </c>
      <c r="BP350">
        <f t="shared" si="368"/>
        <v>0</v>
      </c>
    </row>
    <row r="351" spans="14:68">
      <c r="N351" s="7">
        <v>33</v>
      </c>
      <c r="O351" s="18">
        <f t="shared" si="318"/>
        <v>21379.6208950223</v>
      </c>
      <c r="P351" s="86" t="str">
        <f t="shared" si="319"/>
        <v>75</v>
      </c>
      <c r="Q351" s="4" t="str">
        <f t="shared" si="320"/>
        <v>1+219,409129138434i</v>
      </c>
      <c r="R351" s="4">
        <f t="shared" si="331"/>
        <v>219.411407974348</v>
      </c>
      <c r="S351" s="4">
        <f t="shared" si="332"/>
        <v>1.56623866285531</v>
      </c>
      <c r="T351" s="4" t="str">
        <f t="shared" si="321"/>
        <v>1+2,10632763972897i</v>
      </c>
      <c r="U351" s="4">
        <f t="shared" si="333"/>
        <v>2.33165523306646</v>
      </c>
      <c r="V351" s="4">
        <f t="shared" si="334"/>
        <v>1.12754386975793</v>
      </c>
      <c r="W351" t="str">
        <f t="shared" si="322"/>
        <v>1-1,10488168601854i</v>
      </c>
      <c r="X351" s="4">
        <f t="shared" si="335"/>
        <v>1.49022264782789</v>
      </c>
      <c r="Y351" s="4">
        <f t="shared" si="336"/>
        <v>-0.835184816617631</v>
      </c>
      <c r="Z351" t="str">
        <f t="shared" si="323"/>
        <v>0,996268667839879+0,346713942883854i</v>
      </c>
      <c r="AA351" s="4">
        <f t="shared" si="337"/>
        <v>1.05487526120841</v>
      </c>
      <c r="AB351" s="4">
        <f t="shared" si="338"/>
        <v>0.334903115801347</v>
      </c>
      <c r="AC351" s="67" t="str">
        <f t="shared" si="339"/>
        <v>-0,0427602383668405-1,12513085287307i</v>
      </c>
      <c r="AD351" s="68">
        <f t="shared" si="340"/>
        <v>1.03032890937882</v>
      </c>
      <c r="AE351" s="31">
        <f t="shared" si="341"/>
        <v>-92.1764603256411</v>
      </c>
      <c r="AF351" s="32" t="str">
        <f t="shared" si="342"/>
        <v>249,914648392112</v>
      </c>
      <c r="AG351" s="32" t="str">
        <f t="shared" si="324"/>
        <v>1+141,048725874708i</v>
      </c>
      <c r="AH351" s="32">
        <f t="shared" si="343"/>
        <v>141.05227070444</v>
      </c>
      <c r="AI351" s="32">
        <f t="shared" si="344"/>
        <v>1.56370669702718</v>
      </c>
      <c r="AJ351" s="32" t="str">
        <f t="shared" si="325"/>
        <v>1+2,10632763972897i</v>
      </c>
      <c r="AK351" s="32">
        <f t="shared" si="345"/>
        <v>2.33165523306646</v>
      </c>
      <c r="AL351" s="32">
        <f t="shared" si="346"/>
        <v>1.12754386975793</v>
      </c>
      <c r="AM351" s="32" t="str">
        <f t="shared" si="326"/>
        <v>1-0,213154944434318i</v>
      </c>
      <c r="AN351" s="32">
        <f t="shared" si="347"/>
        <v>1.02246517316572</v>
      </c>
      <c r="AO351" s="32">
        <f t="shared" si="348"/>
        <v>-0.210011956824831</v>
      </c>
      <c r="AP351" s="30" t="str">
        <f t="shared" si="349"/>
        <v>3,37241626784448-2,54342920849193i</v>
      </c>
      <c r="AQ351" s="32">
        <f t="shared" si="350"/>
        <v>12.5144897821758</v>
      </c>
      <c r="AR351" s="31">
        <f t="shared" si="351"/>
        <v>-37.023087956368</v>
      </c>
      <c r="AS351" t="str">
        <f t="shared" si="327"/>
        <v>-0,000100699300699301</v>
      </c>
      <c r="AT351" t="str">
        <f t="shared" si="328"/>
        <v>0,0301844273371874i</v>
      </c>
      <c r="AU351">
        <f t="shared" si="352"/>
        <v>0.0301844273371874</v>
      </c>
      <c r="AV351">
        <f t="shared" si="353"/>
        <v>1.5707963267949</v>
      </c>
      <c r="AW351" t="str">
        <f t="shared" si="329"/>
        <v>1+1,54538731593922i</v>
      </c>
      <c r="AX351">
        <f t="shared" si="354"/>
        <v>1.84071235022364</v>
      </c>
      <c r="AY351">
        <f t="shared" si="355"/>
        <v>0.99647165510605</v>
      </c>
      <c r="AZ351" t="str">
        <f t="shared" si="330"/>
        <v>1+73,8826659343706i</v>
      </c>
      <c r="BA351">
        <f t="shared" si="356"/>
        <v>73.8894331117096</v>
      </c>
      <c r="BB351">
        <f t="shared" si="357"/>
        <v>1.55726217871176</v>
      </c>
      <c r="BC351" s="30" t="str">
        <f t="shared" si="358"/>
        <v>-0,0712252246438198+0,113406692951152i</v>
      </c>
      <c r="BD351" s="32">
        <f t="shared" si="359"/>
        <v>-17.4632015549936</v>
      </c>
      <c r="BE351" s="31">
        <f t="shared" si="360"/>
        <v>122.130930193539</v>
      </c>
      <c r="BF351" s="30" t="str">
        <f t="shared" si="361"/>
        <v>0,130642976745146+0,0752884005265906i</v>
      </c>
      <c r="BG351" s="68">
        <f t="shared" si="362"/>
        <v>-16.4328726456148</v>
      </c>
      <c r="BH351" s="31">
        <f t="shared" si="363"/>
        <v>29.9544698678974</v>
      </c>
      <c r="BI351" s="30" t="str">
        <f t="shared" si="316"/>
        <v>0,0482407890207404+0,563610892931399i</v>
      </c>
      <c r="BJ351" s="68">
        <f t="shared" si="364"/>
        <v>-4.94871177281785</v>
      </c>
      <c r="BK351" s="31">
        <f t="shared" si="317"/>
        <v>85.1078422371705</v>
      </c>
      <c r="BL351" s="32">
        <f t="shared" si="365"/>
        <v>-16.4328726456148</v>
      </c>
      <c r="BM351" s="31">
        <f t="shared" si="366"/>
        <v>29.9544698678974</v>
      </c>
      <c r="BO351">
        <f t="shared" si="367"/>
        <v>0</v>
      </c>
      <c r="BP351">
        <f t="shared" si="368"/>
        <v>0</v>
      </c>
    </row>
    <row r="352" spans="14:68">
      <c r="N352" s="7">
        <v>34</v>
      </c>
      <c r="O352" s="18">
        <f t="shared" si="318"/>
        <v>21877.6162394955</v>
      </c>
      <c r="P352" s="86" t="str">
        <f t="shared" si="319"/>
        <v>75</v>
      </c>
      <c r="Q352" s="4" t="str">
        <f t="shared" si="320"/>
        <v>1+224,519824289783i</v>
      </c>
      <c r="R352" s="4">
        <f t="shared" si="331"/>
        <v>224.52205125358</v>
      </c>
      <c r="S352" s="4">
        <f t="shared" si="332"/>
        <v>1.56634240656453</v>
      </c>
      <c r="T352" s="4" t="str">
        <f t="shared" si="321"/>
        <v>1+2,15539031318192i</v>
      </c>
      <c r="U352" s="4">
        <f t="shared" si="333"/>
        <v>2.376069738488</v>
      </c>
      <c r="V352" s="4">
        <f t="shared" si="334"/>
        <v>1.13639978331145</v>
      </c>
      <c r="W352" t="str">
        <f t="shared" si="322"/>
        <v>1-1,13061768660212i</v>
      </c>
      <c r="X352" s="4">
        <f t="shared" si="335"/>
        <v>1.50940264782381</v>
      </c>
      <c r="Y352" s="4">
        <f t="shared" si="336"/>
        <v>-0.846626614370941</v>
      </c>
      <c r="Z352" t="str">
        <f t="shared" si="323"/>
        <v>0,996092815572876+0,354789948079077i</v>
      </c>
      <c r="AA352" s="4">
        <f t="shared" si="337"/>
        <v>1.05739150956202</v>
      </c>
      <c r="AB352" s="4">
        <f t="shared" si="338"/>
        <v>0.342171176947534</v>
      </c>
      <c r="AC352" s="67" t="str">
        <f t="shared" si="339"/>
        <v>-0,0542999463086306-1,13170021967948i</v>
      </c>
      <c r="AD352" s="68">
        <f t="shared" si="340"/>
        <v>1.08461467800839</v>
      </c>
      <c r="AE352" s="31">
        <f t="shared" si="341"/>
        <v>-92.7469938822075</v>
      </c>
      <c r="AF352" s="32" t="str">
        <f t="shared" si="342"/>
        <v>249,914648392112</v>
      </c>
      <c r="AG352" s="32" t="str">
        <f t="shared" si="324"/>
        <v>1+144,334172757718i</v>
      </c>
      <c r="AH352" s="32">
        <f t="shared" si="343"/>
        <v>144.337636899233</v>
      </c>
      <c r="AI352" s="32">
        <f t="shared" si="344"/>
        <v>1.56386807147876</v>
      </c>
      <c r="AJ352" s="32" t="str">
        <f t="shared" si="325"/>
        <v>1+2,15539031318192i</v>
      </c>
      <c r="AK352" s="32">
        <f t="shared" si="345"/>
        <v>2.376069738488</v>
      </c>
      <c r="AL352" s="32">
        <f t="shared" si="346"/>
        <v>1.13639978331145</v>
      </c>
      <c r="AM352" s="32" t="str">
        <f t="shared" si="326"/>
        <v>1-0,218119960909631i</v>
      </c>
      <c r="AN352" s="32">
        <f t="shared" si="347"/>
        <v>1.02351175730776</v>
      </c>
      <c r="AO352" s="32">
        <f t="shared" si="348"/>
        <v>-0.214756353175783</v>
      </c>
      <c r="AP352" s="30" t="str">
        <f t="shared" si="349"/>
        <v>3,37185854786557-2,5221752336251i</v>
      </c>
      <c r="AQ352" s="32">
        <f t="shared" si="350"/>
        <v>12.487282814973</v>
      </c>
      <c r="AR352" s="31">
        <f t="shared" si="351"/>
        <v>-36.7967614482627</v>
      </c>
      <c r="AS352" t="str">
        <f t="shared" si="327"/>
        <v>-0,000100699300699301</v>
      </c>
      <c r="AT352" t="str">
        <f t="shared" si="328"/>
        <v>0,0308875129701515i</v>
      </c>
      <c r="AU352">
        <f t="shared" si="352"/>
        <v>0.0308875129701515</v>
      </c>
      <c r="AV352">
        <f t="shared" si="353"/>
        <v>1.5707963267949</v>
      </c>
      <c r="AW352" t="str">
        <f t="shared" si="329"/>
        <v>1+1,58138401076017i</v>
      </c>
      <c r="AX352">
        <f t="shared" si="354"/>
        <v>1.87103591346824</v>
      </c>
      <c r="AY352">
        <f t="shared" si="355"/>
        <v>1.00692372929771</v>
      </c>
      <c r="AZ352" t="str">
        <f t="shared" si="330"/>
        <v>1+75,6036143016615i</v>
      </c>
      <c r="BA352">
        <f t="shared" si="356"/>
        <v>75.6102274528677</v>
      </c>
      <c r="BB352">
        <f t="shared" si="357"/>
        <v>1.55757021718936</v>
      </c>
      <c r="BC352" s="30" t="str">
        <f t="shared" si="358"/>
        <v>-0,0689352623715332+0,112273316217649i</v>
      </c>
      <c r="BD352" s="32">
        <f t="shared" si="359"/>
        <v>-17.6051613048162</v>
      </c>
      <c r="BE352" s="31">
        <f t="shared" si="360"/>
        <v>121.549719759893</v>
      </c>
      <c r="BF352" s="30" t="str">
        <f t="shared" si="361"/>
        <v>0,130802917673203+0,0719176165270165i</v>
      </c>
      <c r="BG352" s="68">
        <f t="shared" si="362"/>
        <v>-16.5205466268078</v>
      </c>
      <c r="BH352" s="31">
        <f t="shared" si="363"/>
        <v>28.8027258776859</v>
      </c>
      <c r="BI352" s="30" t="str">
        <f t="shared" si="316"/>
        <v>0,0507330238843036+0,552436552462623i</v>
      </c>
      <c r="BJ352" s="68">
        <f t="shared" si="364"/>
        <v>-5.11787848984328</v>
      </c>
      <c r="BK352" s="31">
        <f t="shared" si="317"/>
        <v>84.7529583116307</v>
      </c>
      <c r="BL352" s="32">
        <f t="shared" si="365"/>
        <v>-16.5205466268078</v>
      </c>
      <c r="BM352" s="31">
        <f t="shared" si="366"/>
        <v>28.8027258776859</v>
      </c>
      <c r="BO352">
        <f t="shared" si="367"/>
        <v>0</v>
      </c>
      <c r="BP352">
        <f t="shared" si="368"/>
        <v>0</v>
      </c>
    </row>
    <row r="353" spans="14:68">
      <c r="N353" s="7">
        <v>35</v>
      </c>
      <c r="O353" s="18">
        <f t="shared" si="318"/>
        <v>22387.2113856834</v>
      </c>
      <c r="P353" s="86" t="str">
        <f t="shared" si="319"/>
        <v>75</v>
      </c>
      <c r="Q353" s="4" t="str">
        <f t="shared" si="320"/>
        <v>1+229,74956282384i</v>
      </c>
      <c r="R353" s="4">
        <f t="shared" si="331"/>
        <v>229.751739096238</v>
      </c>
      <c r="S353" s="4">
        <f t="shared" si="332"/>
        <v>1.56644378887126</v>
      </c>
      <c r="T353" s="4" t="str">
        <f t="shared" si="321"/>
        <v>1+2,20559580310887i</v>
      </c>
      <c r="U353" s="4">
        <f t="shared" si="333"/>
        <v>2.42170453331769</v>
      </c>
      <c r="V353" s="4">
        <f t="shared" si="334"/>
        <v>1.14512500322676</v>
      </c>
      <c r="W353" t="str">
        <f t="shared" si="322"/>
        <v>1-1,15695315564862i</v>
      </c>
      <c r="X353" s="4">
        <f t="shared" si="335"/>
        <v>1.52922876129286</v>
      </c>
      <c r="Y353" s="4">
        <f t="shared" si="336"/>
        <v>-0.858036279956601</v>
      </c>
      <c r="Z353" t="str">
        <f t="shared" si="323"/>
        <v>0,995908675643859+0,363054067600971i</v>
      </c>
      <c r="AA353" s="4">
        <f t="shared" si="337"/>
        <v>1.06001997444591</v>
      </c>
      <c r="AB353" s="4">
        <f t="shared" si="338"/>
        <v>0.349573765649597</v>
      </c>
      <c r="AC353" s="67" t="str">
        <f t="shared" si="339"/>
        <v>-0,0662607606314843-1,13853865672925i</v>
      </c>
      <c r="AD353" s="68">
        <f t="shared" si="340"/>
        <v>1.14164038512636</v>
      </c>
      <c r="AE353" s="31">
        <f t="shared" si="341"/>
        <v>-93.3307471578429</v>
      </c>
      <c r="AF353" s="32" t="str">
        <f t="shared" si="342"/>
        <v>249,914648392112</v>
      </c>
      <c r="AG353" s="32" t="str">
        <f t="shared" si="324"/>
        <v>1+147,696147529611i</v>
      </c>
      <c r="AH353" s="32">
        <f t="shared" si="343"/>
        <v>147.699532819466</v>
      </c>
      <c r="AI353" s="32">
        <f t="shared" si="344"/>
        <v>1.56402577294806</v>
      </c>
      <c r="AJ353" s="32" t="str">
        <f t="shared" si="325"/>
        <v>1+2,20559580310887i</v>
      </c>
      <c r="AK353" s="32">
        <f t="shared" si="345"/>
        <v>2.42170453331769</v>
      </c>
      <c r="AL353" s="32">
        <f t="shared" si="346"/>
        <v>1.14512500322676</v>
      </c>
      <c r="AM353" s="32" t="str">
        <f t="shared" si="326"/>
        <v>1-0,223200627475377i</v>
      </c>
      <c r="AN353" s="32">
        <f t="shared" si="347"/>
        <v>1.0246065196481</v>
      </c>
      <c r="AO353" s="32">
        <f t="shared" si="348"/>
        <v>-0.219601115119161</v>
      </c>
      <c r="AP353" s="30" t="str">
        <f t="shared" si="349"/>
        <v>3,37132592706513-2,5022582015506i</v>
      </c>
      <c r="AQ353" s="32">
        <f t="shared" si="350"/>
        <v>12.4618172111473</v>
      </c>
      <c r="AR353" s="31">
        <f t="shared" si="351"/>
        <v>-36.5834632125063</v>
      </c>
      <c r="AS353" t="str">
        <f t="shared" si="327"/>
        <v>-0,000100699300699301</v>
      </c>
      <c r="AT353" t="str">
        <f t="shared" si="328"/>
        <v>0,031606975571337i</v>
      </c>
      <c r="AU353">
        <f t="shared" si="352"/>
        <v>0.031606975571337</v>
      </c>
      <c r="AV353">
        <f t="shared" si="353"/>
        <v>1.5707963267949</v>
      </c>
      <c r="AW353" t="str">
        <f t="shared" si="329"/>
        <v>1+1,6182191763157i</v>
      </c>
      <c r="AX353">
        <f t="shared" si="354"/>
        <v>1.90227056503429</v>
      </c>
      <c r="AY353">
        <f t="shared" si="355"/>
        <v>1.01727314824346</v>
      </c>
      <c r="AZ353" t="str">
        <f t="shared" si="330"/>
        <v>1+77,3646487059869i</v>
      </c>
      <c r="BA353">
        <f t="shared" si="356"/>
        <v>77.3711113362136</v>
      </c>
      <c r="BB353">
        <f t="shared" si="357"/>
        <v>1.5578712462807</v>
      </c>
      <c r="BC353" s="30" t="str">
        <f t="shared" si="358"/>
        <v>-0,0666900594224447+0,111105116465152i</v>
      </c>
      <c r="BD353" s="32">
        <f t="shared" si="359"/>
        <v>-17.7489987805197</v>
      </c>
      <c r="BE353" s="31">
        <f t="shared" si="360"/>
        <v>120.973989430333</v>
      </c>
      <c r="BF353" s="30" t="str">
        <f t="shared" si="361"/>
        <v>0,130916404119871+0,0685673011449934i</v>
      </c>
      <c r="BG353" s="68">
        <f t="shared" si="362"/>
        <v>-16.6073583953934</v>
      </c>
      <c r="BH353" s="31">
        <f t="shared" si="363"/>
        <v>27.6432422724902</v>
      </c>
      <c r="BI353" s="30" t="str">
        <f t="shared" si="316"/>
        <v>0,0531797625007592+0,541447307920267i</v>
      </c>
      <c r="BJ353" s="68">
        <f t="shared" si="364"/>
        <v>-5.28718156937243</v>
      </c>
      <c r="BK353" s="31">
        <f t="shared" si="317"/>
        <v>84.3905262178267</v>
      </c>
      <c r="BL353" s="32">
        <f t="shared" si="365"/>
        <v>-16.6073583953934</v>
      </c>
      <c r="BM353" s="31">
        <f t="shared" si="366"/>
        <v>27.6432422724902</v>
      </c>
      <c r="BO353">
        <f t="shared" si="367"/>
        <v>0</v>
      </c>
      <c r="BP353">
        <f t="shared" si="368"/>
        <v>0</v>
      </c>
    </row>
    <row r="354" spans="14:68">
      <c r="N354" s="7">
        <v>36</v>
      </c>
      <c r="O354" s="18">
        <f t="shared" si="318"/>
        <v>22908.6765276778</v>
      </c>
      <c r="P354" s="86" t="str">
        <f t="shared" si="319"/>
        <v>75</v>
      </c>
      <c r="Q354" s="4" t="str">
        <f t="shared" si="320"/>
        <v>1+235,101117617204i</v>
      </c>
      <c r="R354" s="4">
        <f t="shared" si="331"/>
        <v>235.103244352047</v>
      </c>
      <c r="S354" s="4">
        <f t="shared" si="332"/>
        <v>1.5665428635214</v>
      </c>
      <c r="T354" s="4" t="str">
        <f t="shared" si="321"/>
        <v>1+2,25697072912516i</v>
      </c>
      <c r="U354" s="4">
        <f t="shared" si="333"/>
        <v>2.46858600662966</v>
      </c>
      <c r="V354" s="4">
        <f t="shared" si="334"/>
        <v>1.15371884073141</v>
      </c>
      <c r="W354" t="str">
        <f t="shared" si="322"/>
        <v>1-1,18390205657235i</v>
      </c>
      <c r="X354" s="4">
        <f t="shared" si="335"/>
        <v>1.54971741925947</v>
      </c>
      <c r="Y354" s="4">
        <f t="shared" si="336"/>
        <v>-0.869407981314651</v>
      </c>
      <c r="Z354" t="str">
        <f t="shared" si="323"/>
        <v>0,995715857467349+0,371510683195099i</v>
      </c>
      <c r="AA354" s="4">
        <f t="shared" si="337"/>
        <v>1.06276538170004</v>
      </c>
      <c r="AB354" s="4">
        <f t="shared" si="338"/>
        <v>0.357111896751331</v>
      </c>
      <c r="AC354" s="67" t="str">
        <f t="shared" si="339"/>
        <v>-0,0786534808126431-1,1456313625217i</v>
      </c>
      <c r="AD354" s="68">
        <f t="shared" si="340"/>
        <v>1.20132038469799</v>
      </c>
      <c r="AE354" s="31">
        <f t="shared" si="341"/>
        <v>-93.9274866895599</v>
      </c>
      <c r="AF354" s="32" t="str">
        <f t="shared" si="342"/>
        <v>249,914648392112</v>
      </c>
      <c r="AG354" s="32" t="str">
        <f t="shared" si="324"/>
        <v>1+151,136432753917i</v>
      </c>
      <c r="AH354" s="32">
        <f t="shared" si="343"/>
        <v>151.139740986874</v>
      </c>
      <c r="AI354" s="32">
        <f t="shared" si="344"/>
        <v>1.56417988501906</v>
      </c>
      <c r="AJ354" s="32" t="str">
        <f t="shared" si="325"/>
        <v>1+2,25697072912516i</v>
      </c>
      <c r="AK354" s="32">
        <f t="shared" si="345"/>
        <v>2.46858600662966</v>
      </c>
      <c r="AL354" s="32">
        <f t="shared" si="346"/>
        <v>1.15371884073141</v>
      </c>
      <c r="AM354" s="32" t="str">
        <f t="shared" si="326"/>
        <v>1-0,228399637968222i</v>
      </c>
      <c r="AN354" s="32">
        <f t="shared" si="347"/>
        <v>1.0257516242366</v>
      </c>
      <c r="AO354" s="32">
        <f t="shared" si="348"/>
        <v>-0.224547901276993</v>
      </c>
      <c r="AP354" s="30" t="str">
        <f t="shared" si="349"/>
        <v>3,37081727600123-2,48366757521316i</v>
      </c>
      <c r="AQ354" s="32">
        <f t="shared" si="350"/>
        <v>12.438070299351</v>
      </c>
      <c r="AR354" s="31">
        <f t="shared" si="351"/>
        <v>-36.3833325339067</v>
      </c>
      <c r="AS354" t="str">
        <f t="shared" si="327"/>
        <v>-0,000100699300699301</v>
      </c>
      <c r="AT354" t="str">
        <f t="shared" si="328"/>
        <v>0,0323431966093382i</v>
      </c>
      <c r="AU354">
        <f t="shared" si="352"/>
        <v>0.0323431966093382</v>
      </c>
      <c r="AV354">
        <f t="shared" si="353"/>
        <v>1.5707963267949</v>
      </c>
      <c r="AW354" t="str">
        <f t="shared" si="329"/>
        <v>1+1,6559123430982i</v>
      </c>
      <c r="AX354">
        <f t="shared" si="354"/>
        <v>1.93443678832496</v>
      </c>
      <c r="AY354">
        <f t="shared" si="355"/>
        <v>1.0275165307491</v>
      </c>
      <c r="AZ354" t="str">
        <f t="shared" si="330"/>
        <v>1+79,1667028710992i</v>
      </c>
      <c r="BA354">
        <f t="shared" si="356"/>
        <v>79.1730184057732</v>
      </c>
      <c r="BB354">
        <f t="shared" si="357"/>
        <v>1.55816542537701</v>
      </c>
      <c r="BC354" s="30" t="str">
        <f t="shared" si="358"/>
        <v>-0,0644906262770744+0,109904285667419i</v>
      </c>
      <c r="BD354" s="32">
        <f t="shared" si="359"/>
        <v>-17.8946765320729</v>
      </c>
      <c r="BE354" s="31">
        <f t="shared" si="360"/>
        <v>120.403942065462</v>
      </c>
      <c r="BF354" s="30" t="str">
        <f t="shared" si="361"/>
        <v>0,130982208772619+0,0652381294277129i</v>
      </c>
      <c r="BG354" s="68">
        <f t="shared" si="362"/>
        <v>-16.6933561473749</v>
      </c>
      <c r="BH354" s="31">
        <f t="shared" si="363"/>
        <v>26.4764553759016</v>
      </c>
      <c r="BI354" s="30" t="str">
        <f t="shared" si="316"/>
        <v>0,0555795934942317+0,53064054222387i</v>
      </c>
      <c r="BJ354" s="68">
        <f t="shared" si="364"/>
        <v>-5.45660623272189</v>
      </c>
      <c r="BK354" s="31">
        <f t="shared" si="317"/>
        <v>84.0206095315548</v>
      </c>
      <c r="BL354" s="32">
        <f t="shared" si="365"/>
        <v>-16.6933561473749</v>
      </c>
      <c r="BM354" s="31">
        <f t="shared" si="366"/>
        <v>26.4764553759016</v>
      </c>
      <c r="BO354">
        <f t="shared" si="367"/>
        <v>0</v>
      </c>
      <c r="BP354">
        <f t="shared" si="368"/>
        <v>0</v>
      </c>
    </row>
    <row r="355" spans="14:68">
      <c r="N355" s="7">
        <v>37</v>
      </c>
      <c r="O355" s="18">
        <f t="shared" si="318"/>
        <v>23442.2881531992</v>
      </c>
      <c r="P355" s="86" t="str">
        <f t="shared" si="319"/>
        <v>75</v>
      </c>
      <c r="Q355" s="4" t="str">
        <f t="shared" si="320"/>
        <v>1+240,577326135056i</v>
      </c>
      <c r="R355" s="4">
        <f t="shared" si="331"/>
        <v>240.579404459927</v>
      </c>
      <c r="S355" s="4">
        <f t="shared" si="332"/>
        <v>1.56663968303786</v>
      </c>
      <c r="T355" s="4" t="str">
        <f t="shared" si="321"/>
        <v>1+2,30954233089655i</v>
      </c>
      <c r="U355" s="4">
        <f t="shared" si="333"/>
        <v>2.51674110273645</v>
      </c>
      <c r="V355" s="4">
        <f t="shared" si="334"/>
        <v>1.16218077383353</v>
      </c>
      <c r="W355" t="str">
        <f t="shared" si="322"/>
        <v>1-1,21147867803725i</v>
      </c>
      <c r="X355" s="4">
        <f t="shared" si="335"/>
        <v>1.57088528777212</v>
      </c>
      <c r="Y355" s="4">
        <f t="shared" si="336"/>
        <v>-0.880735984414663</v>
      </c>
      <c r="Z355" t="str">
        <f t="shared" si="323"/>
        <v>0,995513952050142+0,380164278670978i</v>
      </c>
      <c r="AA355" s="4">
        <f t="shared" si="337"/>
        <v>1.06563263252582</v>
      </c>
      <c r="AB355" s="4">
        <f t="shared" si="338"/>
        <v>0.364786495863194</v>
      </c>
      <c r="AC355" s="67" t="str">
        <f t="shared" si="339"/>
        <v>-0,0914887372240055-1,15296287359123i</v>
      </c>
      <c r="AD355" s="68">
        <f t="shared" si="340"/>
        <v>1.26356641762018</v>
      </c>
      <c r="AE355" s="31">
        <f t="shared" si="341"/>
        <v>-94.5369698924602</v>
      </c>
      <c r="AF355" s="32" t="str">
        <f t="shared" si="342"/>
        <v>249,914648392112</v>
      </c>
      <c r="AG355" s="32" t="str">
        <f t="shared" si="324"/>
        <v>1+154,656852515393i</v>
      </c>
      <c r="AH355" s="32">
        <f t="shared" si="343"/>
        <v>154.660085445366</v>
      </c>
      <c r="AI355" s="32">
        <f t="shared" si="344"/>
        <v>1.56433048937475</v>
      </c>
      <c r="AJ355" s="32" t="str">
        <f t="shared" si="325"/>
        <v>1+2,30954233089655i</v>
      </c>
      <c r="AK355" s="32">
        <f t="shared" si="345"/>
        <v>2.51674110273645</v>
      </c>
      <c r="AL355" s="32">
        <f t="shared" si="346"/>
        <v>1.16218077383353</v>
      </c>
      <c r="AM355" s="32" t="str">
        <f t="shared" si="326"/>
        <v>1-0,233719748972341i</v>
      </c>
      <c r="AN355" s="32">
        <f t="shared" si="347"/>
        <v>1.02694932740603</v>
      </c>
      <c r="AO355" s="32">
        <f t="shared" si="348"/>
        <v>-0.229598365652706</v>
      </c>
      <c r="AP355" s="30" t="str">
        <f t="shared" si="349"/>
        <v>3,37033151604712-2,46639351928597i</v>
      </c>
      <c r="AQ355" s="32">
        <f t="shared" si="350"/>
        <v>12.4160204681448</v>
      </c>
      <c r="AR355" s="31">
        <f t="shared" si="351"/>
        <v>-36.1964987678996</v>
      </c>
      <c r="AS355" t="str">
        <f t="shared" si="327"/>
        <v>-0,000100699300699301</v>
      </c>
      <c r="AT355" t="str">
        <f t="shared" si="328"/>
        <v>0,0330965664382943i</v>
      </c>
      <c r="AU355">
        <f t="shared" si="352"/>
        <v>0.0330965664382943</v>
      </c>
      <c r="AV355">
        <f t="shared" si="353"/>
        <v>1.5707963267949</v>
      </c>
      <c r="AW355" t="str">
        <f t="shared" si="329"/>
        <v>1+1,69448349652359i</v>
      </c>
      <c r="AX355">
        <f t="shared" si="354"/>
        <v>1.96755541726042</v>
      </c>
      <c r="AY355">
        <f t="shared" si="355"/>
        <v>1.03765070911454</v>
      </c>
      <c r="AZ355" t="str">
        <f t="shared" si="330"/>
        <v>1+81,010732269968i</v>
      </c>
      <c r="BA355">
        <f t="shared" si="356"/>
        <v>81.0169040566007</v>
      </c>
      <c r="BB355">
        <f t="shared" si="357"/>
        <v>1.55845291025216</v>
      </c>
      <c r="BC355" s="30" t="str">
        <f t="shared" si="358"/>
        <v>-0,0623378376293232+0,108673027634446i</v>
      </c>
      <c r="BD355" s="32">
        <f t="shared" si="359"/>
        <v>-18.0421563251513</v>
      </c>
      <c r="BE355" s="31">
        <f t="shared" si="360"/>
        <v>119.839768086309</v>
      </c>
      <c r="BF355" s="30" t="str">
        <f t="shared" si="361"/>
        <v>0,130999176269252+0,0619308543379831i</v>
      </c>
      <c r="BG355" s="68">
        <f t="shared" si="362"/>
        <v>-16.7785899075311</v>
      </c>
      <c r="BH355" s="31">
        <f t="shared" si="363"/>
        <v>25.3027981938486</v>
      </c>
      <c r="BI355" s="30" t="str">
        <f t="shared" si="316"/>
        <v>0,0579312722744467+0,520013768715897i</v>
      </c>
      <c r="BJ355" s="68">
        <f t="shared" si="364"/>
        <v>-5.62613585700648</v>
      </c>
      <c r="BK355" s="31">
        <f t="shared" si="317"/>
        <v>83.6432693184092</v>
      </c>
      <c r="BL355" s="32">
        <f t="shared" si="365"/>
        <v>-16.7785899075311</v>
      </c>
      <c r="BM355" s="31">
        <f t="shared" si="366"/>
        <v>25.3027981938486</v>
      </c>
      <c r="BO355">
        <f t="shared" si="367"/>
        <v>0</v>
      </c>
      <c r="BP355">
        <f t="shared" si="368"/>
        <v>0</v>
      </c>
    </row>
    <row r="356" spans="14:68">
      <c r="N356" s="7">
        <v>38</v>
      </c>
      <c r="O356" s="18">
        <f t="shared" si="318"/>
        <v>23988.3291901949</v>
      </c>
      <c r="P356" s="86" t="str">
        <f t="shared" si="319"/>
        <v>75</v>
      </c>
      <c r="Q356" s="4" t="str">
        <f t="shared" si="320"/>
        <v>1+246,181091935646i</v>
      </c>
      <c r="R356" s="4">
        <f t="shared" si="331"/>
        <v>246.183122952462</v>
      </c>
      <c r="S356" s="4">
        <f t="shared" si="332"/>
        <v>1.56673429874836</v>
      </c>
      <c r="T356" s="4" t="str">
        <f t="shared" si="321"/>
        <v>1+2,3633384825822i</v>
      </c>
      <c r="U356" s="4">
        <f t="shared" si="333"/>
        <v>2.56619733910974</v>
      </c>
      <c r="V356" s="4">
        <f t="shared" si="334"/>
        <v>1.17051044082647</v>
      </c>
      <c r="W356" t="str">
        <f t="shared" si="322"/>
        <v>1-1,23969764153307i</v>
      </c>
      <c r="X356" s="4">
        <f t="shared" si="335"/>
        <v>1.59274927167544</v>
      </c>
      <c r="Y356" s="4">
        <f t="shared" si="336"/>
        <v>-0.892014667089751</v>
      </c>
      <c r="Z356" t="str">
        <f t="shared" si="323"/>
        <v>0,995302531123778+0,389019442279481i</v>
      </c>
      <c r="AA356" s="4">
        <f t="shared" si="337"/>
        <v>1.06862680807326</v>
      </c>
      <c r="AB356" s="4">
        <f t="shared" si="338"/>
        <v>0.372598392989029</v>
      </c>
      <c r="AC356" s="67" t="str">
        <f t="shared" si="339"/>
        <v>-0,104776947069248-1,160517045869i</v>
      </c>
      <c r="AD356" s="68">
        <f t="shared" si="340"/>
        <v>1.32828774707983</v>
      </c>
      <c r="AE356" s="31">
        <f t="shared" si="341"/>
        <v>-95.1589458609537</v>
      </c>
      <c r="AF356" s="32" t="str">
        <f t="shared" si="342"/>
        <v>249,914648392112</v>
      </c>
      <c r="AG356" s="32" t="str">
        <f t="shared" si="324"/>
        <v>1+158,259273387201i</v>
      </c>
      <c r="AH356" s="32">
        <f t="shared" si="343"/>
        <v>158.26243272819</v>
      </c>
      <c r="AI356" s="32">
        <f t="shared" si="344"/>
        <v>1.56447766584019</v>
      </c>
      <c r="AJ356" s="32" t="str">
        <f t="shared" si="325"/>
        <v>1+2,3633384825822i</v>
      </c>
      <c r="AK356" s="32">
        <f t="shared" si="345"/>
        <v>2.56619733910974</v>
      </c>
      <c r="AL356" s="32">
        <f t="shared" si="346"/>
        <v>1.17051044082647</v>
      </c>
      <c r="AM356" s="32" t="str">
        <f t="shared" si="326"/>
        <v>1-0,239163781281015i</v>
      </c>
      <c r="AN356" s="32">
        <f t="shared" si="347"/>
        <v>1.02820198126469</v>
      </c>
      <c r="AO356" s="32">
        <f t="shared" si="348"/>
        <v>-0.234754155023586</v>
      </c>
      <c r="AP356" s="30" t="str">
        <f t="shared" si="349"/>
        <v>3,36986761710543-2,45042689505904i</v>
      </c>
      <c r="AQ356" s="32">
        <f t="shared" si="350"/>
        <v>12.3956472387572</v>
      </c>
      <c r="AR356" s="31">
        <f t="shared" si="351"/>
        <v>-36.0230815657785</v>
      </c>
      <c r="AS356" t="str">
        <f t="shared" si="327"/>
        <v>-0,000100699300699301</v>
      </c>
      <c r="AT356" t="str">
        <f t="shared" si="328"/>
        <v>0,033867484504861i</v>
      </c>
      <c r="AU356">
        <f t="shared" si="352"/>
        <v>0.033867484504861</v>
      </c>
      <c r="AV356">
        <f t="shared" si="353"/>
        <v>1.5707963267949</v>
      </c>
      <c r="AW356" t="str">
        <f t="shared" si="329"/>
        <v>1+1,73395308752798i</v>
      </c>
      <c r="AX356">
        <f t="shared" si="354"/>
        <v>2.00164764875035</v>
      </c>
      <c r="AY356">
        <f t="shared" si="355"/>
        <v>1.0476727297406</v>
      </c>
      <c r="AZ356" t="str">
        <f t="shared" si="330"/>
        <v>1+82,8977146313909i</v>
      </c>
      <c r="BA356">
        <f t="shared" si="356"/>
        <v>82.9037459413477</v>
      </c>
      <c r="BB356">
        <f t="shared" si="357"/>
        <v>1.55873385314426</v>
      </c>
      <c r="BC356" s="30" t="str">
        <f t="shared" si="358"/>
        <v>-0,0602324347197958+0,107413548897609i</v>
      </c>
      <c r="BD356" s="32">
        <f t="shared" si="359"/>
        <v>-18.191399252897</v>
      </c>
      <c r="BE356" s="31">
        <f t="shared" si="360"/>
        <v>119.281645444244</v>
      </c>
      <c r="BF356" s="30" t="str">
        <f t="shared" si="361"/>
        <v>0,130966225077447+0,0586463034791499i</v>
      </c>
      <c r="BG356" s="68">
        <f t="shared" si="362"/>
        <v>-16.8631115058171</v>
      </c>
      <c r="BH356" s="31">
        <f t="shared" si="363"/>
        <v>24.1226995832903</v>
      </c>
      <c r="BI356" s="30" t="str">
        <f t="shared" si="316"/>
        <v>0,0602337178507837+0,509564618060699i</v>
      </c>
      <c r="BJ356" s="68">
        <f t="shared" si="364"/>
        <v>-5.79575201413983</v>
      </c>
      <c r="BK356" s="31">
        <f t="shared" si="317"/>
        <v>83.2585638784657</v>
      </c>
      <c r="BL356" s="32">
        <f t="shared" si="365"/>
        <v>-16.8631115058171</v>
      </c>
      <c r="BM356" s="31">
        <f t="shared" si="366"/>
        <v>24.1226995832903</v>
      </c>
      <c r="BO356">
        <f t="shared" si="367"/>
        <v>0</v>
      </c>
      <c r="BP356">
        <f t="shared" si="368"/>
        <v>0</v>
      </c>
    </row>
    <row r="357" spans="14:68">
      <c r="N357" s="7">
        <v>39</v>
      </c>
      <c r="O357" s="18">
        <f t="shared" si="318"/>
        <v>24547.0891568503</v>
      </c>
      <c r="P357" s="86" t="str">
        <f t="shared" si="319"/>
        <v>75</v>
      </c>
      <c r="Q357" s="4" t="str">
        <f t="shared" si="320"/>
        <v>1+251,91538620977i</v>
      </c>
      <c r="R357" s="4">
        <f t="shared" si="331"/>
        <v>251.917370995367</v>
      </c>
      <c r="S357" s="4">
        <f t="shared" si="332"/>
        <v>1.56682676081262</v>
      </c>
      <c r="T357" s="4" t="str">
        <f t="shared" si="321"/>
        <v>1+2,41838770761379i</v>
      </c>
      <c r="U357" s="4">
        <f t="shared" si="333"/>
        <v>2.61698282461645</v>
      </c>
      <c r="V357" s="4">
        <f t="shared" si="334"/>
        <v>1.17870763363677</v>
      </c>
      <c r="W357" t="str">
        <f t="shared" si="322"/>
        <v>1-1,26857390912777i</v>
      </c>
      <c r="X357" s="4">
        <f t="shared" si="335"/>
        <v>1.6153265189799</v>
      </c>
      <c r="Y357" s="4">
        <f t="shared" si="336"/>
        <v>-0.903238532183629</v>
      </c>
      <c r="Z357" t="str">
        <f t="shared" si="323"/>
        <v>0,995081146236128+0,398080869145559i</v>
      </c>
      <c r="AA357" s="4">
        <f t="shared" si="337"/>
        <v>1.07175317399777</v>
      </c>
      <c r="AB357" s="4">
        <f t="shared" si="338"/>
        <v>0.380548316023532</v>
      </c>
      <c r="AC357" s="67" t="str">
        <f t="shared" si="339"/>
        <v>-0,118528267536854-1,16827703830351i</v>
      </c>
      <c r="AD357" s="68">
        <f t="shared" si="340"/>
        <v>1.39539130043551</v>
      </c>
      <c r="AE357" s="31">
        <f t="shared" si="341"/>
        <v>-95.7931561321499</v>
      </c>
      <c r="AF357" s="32" t="str">
        <f t="shared" si="342"/>
        <v>249,914648392112</v>
      </c>
      <c r="AG357" s="32" t="str">
        <f t="shared" si="324"/>
        <v>1+161,945605420566i</v>
      </c>
      <c r="AH357" s="32">
        <f t="shared" si="343"/>
        <v>161.948692847561</v>
      </c>
      <c r="AI357" s="32">
        <f t="shared" si="344"/>
        <v>1.56462149242477</v>
      </c>
      <c r="AJ357" s="32" t="str">
        <f t="shared" si="325"/>
        <v>1+2,41838770761379i</v>
      </c>
      <c r="AK357" s="32">
        <f t="shared" si="345"/>
        <v>2.61698282461645</v>
      </c>
      <c r="AL357" s="32">
        <f t="shared" si="346"/>
        <v>1.17870763363677</v>
      </c>
      <c r="AM357" s="32" t="str">
        <f t="shared" si="326"/>
        <v>1-0,244734621392229i</v>
      </c>
      <c r="AN357" s="32">
        <f t="shared" si="347"/>
        <v>1.02951203728174</v>
      </c>
      <c r="AO357" s="32">
        <f t="shared" si="348"/>
        <v>-0.240016906157035</v>
      </c>
      <c r="AP357" s="30" t="str">
        <f t="shared" si="349"/>
        <v>3,36942459542583-2,43575925569044i</v>
      </c>
      <c r="AQ357" s="32">
        <f t="shared" si="350"/>
        <v>12.3769313326895</v>
      </c>
      <c r="AR357" s="31">
        <f t="shared" si="351"/>
        <v>-35.8631910987458</v>
      </c>
      <c r="AS357" t="str">
        <f t="shared" si="327"/>
        <v>-0,000100699300699301</v>
      </c>
      <c r="AT357" t="str">
        <f t="shared" si="328"/>
        <v>0,0346563595600013i</v>
      </c>
      <c r="AU357">
        <f t="shared" si="352"/>
        <v>0.0346563595600013</v>
      </c>
      <c r="AV357">
        <f t="shared" si="353"/>
        <v>1.5707963267949</v>
      </c>
      <c r="AW357" t="str">
        <f t="shared" si="329"/>
        <v>1+1,77434204341096i</v>
      </c>
      <c r="AX357">
        <f t="shared" si="354"/>
        <v>2.03673505567508</v>
      </c>
      <c r="AY357">
        <f t="shared" si="355"/>
        <v>1.05757985288853</v>
      </c>
      <c r="AZ357" t="str">
        <f t="shared" si="330"/>
        <v>1+84,8286504583919i</v>
      </c>
      <c r="BA357">
        <f t="shared" si="356"/>
        <v>84.8345444886223</v>
      </c>
      <c r="BB357">
        <f t="shared" si="357"/>
        <v>1.55900840283544</v>
      </c>
      <c r="BC357" s="30" t="str">
        <f t="shared" si="358"/>
        <v>-0,0581750283095014+0,106128050035744i</v>
      </c>
      <c r="BD357" s="32">
        <f t="shared" si="359"/>
        <v>-18.3423658454674</v>
      </c>
      <c r="BE357" s="31">
        <f t="shared" si="360"/>
        <v>118.729739639322</v>
      </c>
      <c r="BF357" s="30" t="str">
        <f t="shared" si="361"/>
        <v>0,130882349296118+0,0553853758688459i</v>
      </c>
      <c r="BG357" s="68">
        <f t="shared" si="362"/>
        <v>-16.9469745450319</v>
      </c>
      <c r="BH357" s="31">
        <f t="shared" si="363"/>
        <v>22.9365835071725</v>
      </c>
      <c r="BI357" s="30" t="str">
        <f t="shared" si="316"/>
        <v>0,0624860089373136+0,49929082570994i</v>
      </c>
      <c r="BJ357" s="68">
        <f t="shared" si="364"/>
        <v>-5.96543451277792</v>
      </c>
      <c r="BK357" s="31">
        <f t="shared" si="317"/>
        <v>82.8665485405766</v>
      </c>
      <c r="BL357" s="32">
        <f t="shared" si="365"/>
        <v>-16.9469745450319</v>
      </c>
      <c r="BM357" s="31">
        <f t="shared" si="366"/>
        <v>22.9365835071725</v>
      </c>
      <c r="BO357">
        <f t="shared" si="367"/>
        <v>0</v>
      </c>
      <c r="BP357">
        <f t="shared" si="368"/>
        <v>0</v>
      </c>
    </row>
    <row r="358" spans="14:68">
      <c r="N358" s="7">
        <v>40</v>
      </c>
      <c r="O358" s="18">
        <f t="shared" si="318"/>
        <v>25118.8643150959</v>
      </c>
      <c r="P358" s="86" t="str">
        <f t="shared" si="319"/>
        <v>75</v>
      </c>
      <c r="Q358" s="4" t="str">
        <f t="shared" si="320"/>
        <v>1+257,783249356158i</v>
      </c>
      <c r="R358" s="4">
        <f t="shared" si="331"/>
        <v>257.785188962863</v>
      </c>
      <c r="S358" s="4">
        <f t="shared" si="332"/>
        <v>1.56691711824893</v>
      </c>
      <c r="T358" s="4" t="str">
        <f t="shared" si="321"/>
        <v>1+2,47471919381912i</v>
      </c>
      <c r="U358" s="4">
        <f t="shared" si="333"/>
        <v>2.66912627806493</v>
      </c>
      <c r="V358" s="4">
        <f t="shared" si="334"/>
        <v>1.18677229105891</v>
      </c>
      <c r="W358" t="str">
        <f t="shared" si="322"/>
        <v>1-1,29812279140066i</v>
      </c>
      <c r="X358" s="4">
        <f t="shared" si="335"/>
        <v>1.63863442584179</v>
      </c>
      <c r="Y358" s="4">
        <f t="shared" si="336"/>
        <v>-0.91440221994146</v>
      </c>
      <c r="Z358" t="str">
        <f t="shared" si="323"/>
        <v>0,994849327800162+0,407353363757684i</v>
      </c>
      <c r="AA358" s="4">
        <f t="shared" si="337"/>
        <v>1.07501718497387</v>
      </c>
      <c r="AB358" s="4">
        <f t="shared" si="338"/>
        <v>0.388636884140893</v>
      </c>
      <c r="AC358" s="67" t="str">
        <f t="shared" si="339"/>
        <v>-0,132752546213227-1,17622529904912i</v>
      </c>
      <c r="AD358" s="68">
        <f t="shared" si="340"/>
        <v>1.46478181729653</v>
      </c>
      <c r="AE358" s="31">
        <f t="shared" si="341"/>
        <v>-96.439335406145</v>
      </c>
      <c r="AF358" s="32" t="str">
        <f t="shared" si="342"/>
        <v>249,914648392112</v>
      </c>
      <c r="AG358" s="32" t="str">
        <f t="shared" si="324"/>
        <v>1+165,71780315753i</v>
      </c>
      <c r="AH358" s="32">
        <f t="shared" si="343"/>
        <v>165.720820307401</v>
      </c>
      <c r="AI358" s="32">
        <f t="shared" si="344"/>
        <v>1.56476204536345</v>
      </c>
      <c r="AJ358" s="32" t="str">
        <f t="shared" si="325"/>
        <v>1+2,47471919381912i</v>
      </c>
      <c r="AK358" s="32">
        <f t="shared" si="345"/>
        <v>2.66912627806493</v>
      </c>
      <c r="AL358" s="32">
        <f t="shared" si="346"/>
        <v>1.18677229105891</v>
      </c>
      <c r="AM358" s="32" t="str">
        <f t="shared" si="326"/>
        <v>1-0,250435223039152i</v>
      </c>
      <c r="AN358" s="32">
        <f t="shared" si="347"/>
        <v>1.03088204996433</v>
      </c>
      <c r="AO358" s="32">
        <f t="shared" si="348"/>
        <v>-0.245388242844683</v>
      </c>
      <c r="AP358" s="30" t="str">
        <f t="shared" si="349"/>
        <v>3,36900151152007-2,4223828418176i</v>
      </c>
      <c r="AQ358" s="32">
        <f t="shared" si="350"/>
        <v>12.3598547341716</v>
      </c>
      <c r="AR358" s="31">
        <f t="shared" si="351"/>
        <v>-35.7169282779688</v>
      </c>
      <c r="AS358" t="str">
        <f t="shared" si="327"/>
        <v>-0,000100699300699301</v>
      </c>
      <c r="AT358" t="str">
        <f t="shared" si="328"/>
        <v>0,0354636098757116i</v>
      </c>
      <c r="AU358">
        <f t="shared" si="352"/>
        <v>0.0354636098757116</v>
      </c>
      <c r="AV358">
        <f t="shared" si="353"/>
        <v>1.5707963267949</v>
      </c>
      <c r="AW358" t="str">
        <f t="shared" si="329"/>
        <v>1+1,81567177893155i</v>
      </c>
      <c r="AX358">
        <f t="shared" si="354"/>
        <v>2.07283960035707</v>
      </c>
      <c r="AY358">
        <f t="shared" si="355"/>
        <v>1.06736955163668</v>
      </c>
      <c r="AZ358" t="str">
        <f t="shared" si="330"/>
        <v>1+86,8045635587063i</v>
      </c>
      <c r="BA358">
        <f t="shared" si="356"/>
        <v>86.8103234334344</v>
      </c>
      <c r="BB358">
        <f t="shared" si="357"/>
        <v>1.55927670472992</v>
      </c>
      <c r="BC358" s="30" t="str">
        <f t="shared" si="358"/>
        <v>-0,0561661022326667+0,10481871748454i</v>
      </c>
      <c r="BD358" s="32">
        <f t="shared" si="359"/>
        <v>-18.4950161768704</v>
      </c>
      <c r="BE358" s="31">
        <f t="shared" si="360"/>
        <v>118.184203784538</v>
      </c>
      <c r="BF358" s="30" t="str">
        <f t="shared" si="361"/>
        <v>0,130746620401457+0,0521490387581643i</v>
      </c>
      <c r="BG358" s="68">
        <f t="shared" si="362"/>
        <v>-17.0302343595739</v>
      </c>
      <c r="BH358" s="31">
        <f t="shared" si="363"/>
        <v>21.7448683783931</v>
      </c>
      <c r="BI358" s="30" t="str">
        <f t="shared" si="316"/>
        <v>0,0646873794178313+0,489190219981195i</v>
      </c>
      <c r="BJ358" s="68">
        <f t="shared" si="364"/>
        <v>-6.13516144269888</v>
      </c>
      <c r="BK358" s="31">
        <f t="shared" si="317"/>
        <v>82.4672755065693</v>
      </c>
      <c r="BL358" s="32">
        <f t="shared" si="365"/>
        <v>-17.0302343595739</v>
      </c>
      <c r="BM358" s="31">
        <f t="shared" si="366"/>
        <v>21.7448683783931</v>
      </c>
      <c r="BO358">
        <f t="shared" si="367"/>
        <v>0</v>
      </c>
      <c r="BP358">
        <f t="shared" si="368"/>
        <v>0</v>
      </c>
    </row>
    <row r="359" spans="14:68">
      <c r="N359" s="7">
        <v>41</v>
      </c>
      <c r="O359" s="18">
        <f t="shared" si="318"/>
        <v>25703.9578276886</v>
      </c>
      <c r="P359" s="86" t="str">
        <f t="shared" si="319"/>
        <v>75</v>
      </c>
      <c r="Q359" s="4" t="str">
        <f t="shared" si="320"/>
        <v>1+263,787792593518i</v>
      </c>
      <c r="R359" s="4">
        <f t="shared" si="331"/>
        <v>263.789688049705</v>
      </c>
      <c r="S359" s="4">
        <f t="shared" si="332"/>
        <v>1.56700541896009</v>
      </c>
      <c r="T359" s="4" t="str">
        <f t="shared" si="321"/>
        <v>1+2,53236280889778i</v>
      </c>
      <c r="U359" s="4">
        <f t="shared" si="333"/>
        <v>2.72265704705691</v>
      </c>
      <c r="V359" s="4">
        <f t="shared" si="334"/>
        <v>1.19470449191701</v>
      </c>
      <c r="W359" t="str">
        <f t="shared" si="322"/>
        <v>1-1,32835995556022i</v>
      </c>
      <c r="X359" s="4">
        <f t="shared" si="335"/>
        <v>1.66269064216286</v>
      </c>
      <c r="Y359" s="4">
        <f t="shared" si="336"/>
        <v>-0.92550051958322</v>
      </c>
      <c r="Z359" t="str">
        <f t="shared" si="323"/>
        <v>0,994606584097897+0,41684184251523i</v>
      </c>
      <c r="AA359" s="4">
        <f t="shared" si="337"/>
        <v>1.07842448915183</v>
      </c>
      <c r="AB359" s="4">
        <f t="shared" si="338"/>
        <v>0.396864601097525</v>
      </c>
      <c r="AC359" s="67" t="str">
        <f t="shared" si="339"/>
        <v>-0,147459268829129-1,18434355454413i</v>
      </c>
      <c r="AD359" s="68">
        <f t="shared" si="340"/>
        <v>1.53636200344849</v>
      </c>
      <c r="AE359" s="31">
        <f t="shared" si="341"/>
        <v>-97.0972122186913</v>
      </c>
      <c r="AF359" s="32" t="str">
        <f t="shared" si="342"/>
        <v>249,914648392112</v>
      </c>
      <c r="AG359" s="32" t="str">
        <f t="shared" si="324"/>
        <v>1+169,577866667262i</v>
      </c>
      <c r="AH359" s="32">
        <f t="shared" si="343"/>
        <v>169.580815139625</v>
      </c>
      <c r="AI359" s="32">
        <f t="shared" si="344"/>
        <v>1.56489939915703</v>
      </c>
      <c r="AJ359" s="32" t="str">
        <f t="shared" si="325"/>
        <v>1+2,53236280889778i</v>
      </c>
      <c r="AK359" s="32">
        <f t="shared" si="345"/>
        <v>2.72265704705691</v>
      </c>
      <c r="AL359" s="32">
        <f t="shared" si="346"/>
        <v>1.19470449191701</v>
      </c>
      <c r="AM359" s="32" t="str">
        <f t="shared" si="326"/>
        <v>1-0,256268608756231i</v>
      </c>
      <c r="AN359" s="32">
        <f t="shared" si="347"/>
        <v>1.03231468062498</v>
      </c>
      <c r="AO359" s="32">
        <f t="shared" si="348"/>
        <v>-0.250869772748518</v>
      </c>
      <c r="AP359" s="30" t="str">
        <f t="shared" si="349"/>
        <v>3,3685974681713-2,41029057752727i</v>
      </c>
      <c r="AQ359" s="32">
        <f t="shared" si="350"/>
        <v>12.3444007474919</v>
      </c>
      <c r="AR359" s="31">
        <f t="shared" si="351"/>
        <v>-35.5843849679861</v>
      </c>
      <c r="AS359" t="str">
        <f t="shared" si="327"/>
        <v>-0,000100699300699301</v>
      </c>
      <c r="AT359" t="str">
        <f t="shared" si="328"/>
        <v>0,036289663466794i</v>
      </c>
      <c r="AU359">
        <f t="shared" si="352"/>
        <v>0.036289663466794</v>
      </c>
      <c r="AV359">
        <f t="shared" si="353"/>
        <v>1.5707963267949</v>
      </c>
      <c r="AW359" t="str">
        <f t="shared" si="329"/>
        <v>1+1,85796420766259i</v>
      </c>
      <c r="AX359">
        <f t="shared" si="354"/>
        <v>2.10998364850424</v>
      </c>
      <c r="AY359">
        <f t="shared" si="355"/>
        <v>1.07703951008194</v>
      </c>
      <c r="AZ359" t="str">
        <f t="shared" si="330"/>
        <v>1+88,8265015876133i</v>
      </c>
      <c r="BA359">
        <f t="shared" si="356"/>
        <v>88.8321303599901</v>
      </c>
      <c r="BB359">
        <f t="shared" si="357"/>
        <v>1.55953890093034</v>
      </c>
      <c r="BC359" s="30" t="str">
        <f t="shared" si="358"/>
        <v>-0,0542060174655566+0,103487715863742i</v>
      </c>
      <c r="BD359" s="32">
        <f t="shared" si="359"/>
        <v>-18.6493099686301</v>
      </c>
      <c r="BE359" s="31">
        <f t="shared" si="360"/>
        <v>117.645178713246</v>
      </c>
      <c r="BF359" s="30" t="str">
        <f t="shared" si="361"/>
        <v>0,130558188959327+0,0489383244887745i</v>
      </c>
      <c r="BG359" s="68">
        <f t="shared" si="362"/>
        <v>-17.1129479651816</v>
      </c>
      <c r="BH359" s="31">
        <f t="shared" si="363"/>
        <v>20.5479664945552</v>
      </c>
      <c r="BI359" s="30" t="str">
        <f t="shared" si="316"/>
        <v>0,0668372132420735+0,479260710787942i</v>
      </c>
      <c r="BJ359" s="68">
        <f t="shared" si="364"/>
        <v>-6.30490922113817</v>
      </c>
      <c r="BK359" s="31">
        <f t="shared" si="317"/>
        <v>82.0607937452603</v>
      </c>
      <c r="BL359" s="32">
        <f t="shared" si="365"/>
        <v>-17.1129479651816</v>
      </c>
      <c r="BM359" s="31">
        <f t="shared" si="366"/>
        <v>20.5479664945552</v>
      </c>
      <c r="BO359">
        <f t="shared" si="367"/>
        <v>0</v>
      </c>
      <c r="BP359">
        <f t="shared" si="368"/>
        <v>0</v>
      </c>
    </row>
    <row r="360" spans="14:68">
      <c r="N360" s="7">
        <v>42</v>
      </c>
      <c r="O360" s="18">
        <f t="shared" si="318"/>
        <v>26302.6799189538</v>
      </c>
      <c r="P360" s="86" t="str">
        <f t="shared" si="319"/>
        <v>75</v>
      </c>
      <c r="Q360" s="4" t="str">
        <f t="shared" si="320"/>
        <v>1+269,932199610156i</v>
      </c>
      <c r="R360" s="4">
        <f t="shared" si="331"/>
        <v>269.934051920792</v>
      </c>
      <c r="S360" s="4">
        <f t="shared" si="332"/>
        <v>1.5670917097588</v>
      </c>
      <c r="T360" s="4" t="str">
        <f t="shared" si="321"/>
        <v>1+2,5913491162575i</v>
      </c>
      <c r="U360" s="4">
        <f t="shared" si="333"/>
        <v>2.77760512714254</v>
      </c>
      <c r="V360" s="4">
        <f t="shared" si="334"/>
        <v>1.20250444819136</v>
      </c>
      <c r="W360" t="str">
        <f t="shared" si="322"/>
        <v>1-1,35930143375114i</v>
      </c>
      <c r="X360" s="4">
        <f t="shared" si="335"/>
        <v>1.68751307781537</v>
      </c>
      <c r="Y360" s="4">
        <f t="shared" si="336"/>
        <v>-0.936528380007348</v>
      </c>
      <c r="Z360" t="str">
        <f t="shared" si="323"/>
        <v>0,994352400237396+0,426551336335232i</v>
      </c>
      <c r="AA360" s="4">
        <f t="shared" si="337"/>
        <v>1.08198093254329</v>
      </c>
      <c r="AB360" s="4">
        <f t="shared" si="338"/>
        <v>0.405231848474802</v>
      </c>
      <c r="AC360" s="67" t="str">
        <f t="shared" si="339"/>
        <v>-0,162657504445307-1,19261280180928i</v>
      </c>
      <c r="AD360" s="68">
        <f t="shared" si="340"/>
        <v>1.61003269024558</v>
      </c>
      <c r="AE360" s="31">
        <f t="shared" si="341"/>
        <v>-97.7665095625829</v>
      </c>
      <c r="AF360" s="32" t="str">
        <f t="shared" si="342"/>
        <v>249,914648392112</v>
      </c>
      <c r="AG360" s="32" t="str">
        <f t="shared" si="324"/>
        <v>1+173,527842606529i</v>
      </c>
      <c r="AH360" s="32">
        <f t="shared" si="343"/>
        <v>173.530723964595</v>
      </c>
      <c r="AI360" s="32">
        <f t="shared" si="344"/>
        <v>1.56503362661155</v>
      </c>
      <c r="AJ360" s="32" t="str">
        <f t="shared" si="325"/>
        <v>1+2,5913491162575i</v>
      </c>
      <c r="AK360" s="32">
        <f t="shared" si="345"/>
        <v>2.77760512714254</v>
      </c>
      <c r="AL360" s="32">
        <f t="shared" si="346"/>
        <v>1.20250444819136</v>
      </c>
      <c r="AM360" s="32" t="str">
        <f t="shared" si="326"/>
        <v>1-0,26223787148179i</v>
      </c>
      <c r="AN360" s="32">
        <f t="shared" si="347"/>
        <v>1.03381270123717</v>
      </c>
      <c r="AO360" s="32">
        <f t="shared" si="348"/>
        <v>-0.256463084053689</v>
      </c>
      <c r="AP360" s="30" t="str">
        <f t="shared" si="349"/>
        <v>3,36821160853254-2,39947606668228i</v>
      </c>
      <c r="AQ360" s="32">
        <f t="shared" si="350"/>
        <v>12.330554049238</v>
      </c>
      <c r="AR360" s="31">
        <f t="shared" si="351"/>
        <v>-35.4656441910075</v>
      </c>
      <c r="AS360" t="str">
        <f t="shared" si="327"/>
        <v>-0,000100699300699301</v>
      </c>
      <c r="AT360" t="str">
        <f t="shared" si="328"/>
        <v>0,0371349583177972i</v>
      </c>
      <c r="AU360">
        <f t="shared" si="352"/>
        <v>0.0371349583177972</v>
      </c>
      <c r="AV360">
        <f t="shared" si="353"/>
        <v>1.5707963267949</v>
      </c>
      <c r="AW360" t="str">
        <f t="shared" si="329"/>
        <v>1+1,90124175360958i</v>
      </c>
      <c r="AX360">
        <f t="shared" si="354"/>
        <v>2.14818998360676</v>
      </c>
      <c r="AY360">
        <f t="shared" si="355"/>
        <v>1.08658762083661</v>
      </c>
      <c r="AZ360" t="str">
        <f t="shared" si="330"/>
        <v>1+90,8955366034198i</v>
      </c>
      <c r="BA360">
        <f t="shared" si="356"/>
        <v>90.9010372571382</v>
      </c>
      <c r="BB360">
        <f t="shared" si="357"/>
        <v>1.55979513031229</v>
      </c>
      <c r="BC360" s="30" t="str">
        <f t="shared" si="358"/>
        <v>-0,0522950166473204+0,102137180848859i</v>
      </c>
      <c r="BD360" s="32">
        <f t="shared" si="359"/>
        <v>-18.8052066898826</v>
      </c>
      <c r="BE360" s="31">
        <f t="shared" si="360"/>
        <v>117.112793126853</v>
      </c>
      <c r="BF360" s="30" t="str">
        <f t="shared" si="361"/>
        <v>0,130316286323838+0,0457543273764693i</v>
      </c>
      <c r="BG360" s="68">
        <f t="shared" si="362"/>
        <v>-17.195173999637</v>
      </c>
      <c r="BH360" s="31">
        <f t="shared" si="363"/>
        <v>19.3462835642701</v>
      </c>
      <c r="BI360" s="30" t="str">
        <f t="shared" si="316"/>
        <v>0,0689350388253299+0,469500279049911i</v>
      </c>
      <c r="BJ360" s="68">
        <f t="shared" si="364"/>
        <v>-6.47465264064461</v>
      </c>
      <c r="BK360" s="31">
        <f t="shared" si="317"/>
        <v>81.6471489358455</v>
      </c>
      <c r="BL360" s="32">
        <f t="shared" si="365"/>
        <v>-17.195173999637</v>
      </c>
      <c r="BM360" s="31">
        <f t="shared" si="366"/>
        <v>19.3462835642701</v>
      </c>
      <c r="BO360">
        <f t="shared" si="367"/>
        <v>0</v>
      </c>
      <c r="BP360">
        <f t="shared" si="368"/>
        <v>0</v>
      </c>
    </row>
    <row r="361" spans="14:68">
      <c r="N361" s="7">
        <v>43</v>
      </c>
      <c r="O361" s="18">
        <f t="shared" si="318"/>
        <v>26915.3480392692</v>
      </c>
      <c r="P361" s="86" t="str">
        <f t="shared" si="319"/>
        <v>75</v>
      </c>
      <c r="Q361" s="4" t="str">
        <f t="shared" si="320"/>
        <v>1+276,219728252003i</v>
      </c>
      <c r="R361" s="4">
        <f t="shared" si="331"/>
        <v>276.221538399181</v>
      </c>
      <c r="S361" s="4">
        <f t="shared" si="332"/>
        <v>1.56717603639243</v>
      </c>
      <c r="T361" s="4" t="str">
        <f t="shared" si="321"/>
        <v>1+2,65170939121923i</v>
      </c>
      <c r="U361" s="4">
        <f t="shared" si="333"/>
        <v>2.83400118127715</v>
      </c>
      <c r="V361" s="4">
        <f t="shared" si="334"/>
        <v>1.21017249814437</v>
      </c>
      <c r="W361" t="str">
        <f t="shared" si="322"/>
        <v>1-1,39096363155473i</v>
      </c>
      <c r="X361" s="4">
        <f t="shared" si="335"/>
        <v>1.71311990949493</v>
      </c>
      <c r="Y361" s="4">
        <f t="shared" si="336"/>
        <v>-0.947480919581301</v>
      </c>
      <c r="Z361" t="str">
        <f t="shared" si="323"/>
        <v>0,994086237060612+0,436486993319835i</v>
      </c>
      <c r="AA361" s="4">
        <f t="shared" si="337"/>
        <v>1.08569256332109</v>
      </c>
      <c r="AB361" s="4">
        <f t="shared" si="338"/>
        <v>0.413738878890439</v>
      </c>
      <c r="AC361" s="67" t="str">
        <f t="shared" si="339"/>
        <v>-0,178355848217987-1,20101330430442i</v>
      </c>
      <c r="AD361" s="68">
        <f t="shared" si="340"/>
        <v>1.68569299906811</v>
      </c>
      <c r="AE361" s="31">
        <f t="shared" si="341"/>
        <v>-98.4469454549301</v>
      </c>
      <c r="AF361" s="32" t="str">
        <f t="shared" si="342"/>
        <v>249,914648392112</v>
      </c>
      <c r="AG361" s="32" t="str">
        <f t="shared" si="324"/>
        <v>1+177,569825304859i</v>
      </c>
      <c r="AH361" s="32">
        <f t="shared" si="343"/>
        <v>177.57264107626</v>
      </c>
      <c r="AI361" s="32">
        <f t="shared" si="344"/>
        <v>1.56516479887684</v>
      </c>
      <c r="AJ361" s="32" t="str">
        <f t="shared" si="325"/>
        <v>1+2,65170939121923i</v>
      </c>
      <c r="AK361" s="32">
        <f t="shared" si="345"/>
        <v>2.83400118127715</v>
      </c>
      <c r="AL361" s="32">
        <f t="shared" si="346"/>
        <v>1.21017249814437</v>
      </c>
      <c r="AM361" s="32" t="str">
        <f t="shared" si="326"/>
        <v>1-0,268346176197937i</v>
      </c>
      <c r="AN361" s="32">
        <f t="shared" si="347"/>
        <v>1.03537899837695</v>
      </c>
      <c r="AO361" s="32">
        <f t="shared" si="348"/>
        <v>-0.262169741922954</v>
      </c>
      <c r="AP361" s="30" t="str">
        <f t="shared" si="349"/>
        <v>3,36784311431081-2,38993358960335i</v>
      </c>
      <c r="AQ361" s="32">
        <f t="shared" si="350"/>
        <v>12.3183007354937</v>
      </c>
      <c r="AR361" s="31">
        <f t="shared" si="351"/>
        <v>-35.3607803198285</v>
      </c>
      <c r="AS361" t="str">
        <f t="shared" si="327"/>
        <v>-0,000100699300699301</v>
      </c>
      <c r="AT361" t="str">
        <f t="shared" si="328"/>
        <v>0,0379999426152399i</v>
      </c>
      <c r="AU361">
        <f t="shared" si="352"/>
        <v>0.0379999426152399</v>
      </c>
      <c r="AV361">
        <f t="shared" si="353"/>
        <v>1.5707963267949</v>
      </c>
      <c r="AW361" t="str">
        <f t="shared" si="329"/>
        <v>1+1,94552736310026i</v>
      </c>
      <c r="AX361">
        <f t="shared" si="354"/>
        <v>2.18748182176946</v>
      </c>
      <c r="AY361">
        <f t="shared" si="355"/>
        <v>1.09601198187383</v>
      </c>
      <c r="AZ361" t="str">
        <f t="shared" si="330"/>
        <v>1+93,0127656358785i</v>
      </c>
      <c r="BA361">
        <f t="shared" si="356"/>
        <v>93.0181410867518</v>
      </c>
      <c r="BB361">
        <f t="shared" si="357"/>
        <v>1.56004552859733</v>
      </c>
      <c r="BC361" s="30" t="str">
        <f t="shared" si="358"/>
        <v>-0,0504332289889212+0,100769212606607i</v>
      </c>
      <c r="BD361" s="32">
        <f t="shared" si="359"/>
        <v>-18.9626656535557</v>
      </c>
      <c r="BE361" s="31">
        <f t="shared" si="360"/>
        <v>116.587163779743</v>
      </c>
      <c r="BF361" s="30" t="str">
        <f t="shared" si="361"/>
        <v>0,130020226339507+0,0425982006060157i</v>
      </c>
      <c r="BG361" s="68">
        <f t="shared" si="362"/>
        <v>-17.2769726544876</v>
      </c>
      <c r="BH361" s="31">
        <f t="shared" si="363"/>
        <v>18.1402183248133</v>
      </c>
      <c r="BI361" s="30" t="str">
        <f t="shared" si="316"/>
        <v>0,0709805230236128+0,459906966804464i</v>
      </c>
      <c r="BJ361" s="68">
        <f t="shared" si="364"/>
        <v>-6.64436491806199</v>
      </c>
      <c r="BK361" s="31">
        <f t="shared" si="317"/>
        <v>81.226383459915</v>
      </c>
      <c r="BL361" s="32">
        <f t="shared" si="365"/>
        <v>-17.2769726544876</v>
      </c>
      <c r="BM361" s="31">
        <f t="shared" si="366"/>
        <v>18.1402183248133</v>
      </c>
      <c r="BO361">
        <f t="shared" si="367"/>
        <v>0</v>
      </c>
      <c r="BP361">
        <f t="shared" si="368"/>
        <v>0</v>
      </c>
    </row>
    <row r="362" spans="14:68">
      <c r="N362" s="7">
        <v>44</v>
      </c>
      <c r="O362" s="18">
        <f t="shared" si="318"/>
        <v>27542.2870333817</v>
      </c>
      <c r="P362" s="86" t="str">
        <f t="shared" si="319"/>
        <v>75</v>
      </c>
      <c r="Q362" s="4" t="str">
        <f t="shared" si="320"/>
        <v>1+282,653712249969i</v>
      </c>
      <c r="R362" s="4">
        <f t="shared" si="331"/>
        <v>282.655481193428</v>
      </c>
      <c r="S362" s="4">
        <f t="shared" si="332"/>
        <v>1.56725844356729</v>
      </c>
      <c r="T362" s="4" t="str">
        <f t="shared" si="321"/>
        <v>1+2,71347563759971i</v>
      </c>
      <c r="U362" s="4">
        <f t="shared" si="333"/>
        <v>2.89187655957981</v>
      </c>
      <c r="V362" s="4">
        <f t="shared" si="334"/>
        <v>1.21770909947775</v>
      </c>
      <c r="W362" t="str">
        <f t="shared" si="322"/>
        <v>1-1,42336333668735i</v>
      </c>
      <c r="X362" s="4">
        <f t="shared" si="335"/>
        <v>1.73952958820071</v>
      </c>
      <c r="Y362" s="4">
        <f t="shared" si="336"/>
        <v>-0.958353434985125</v>
      </c>
      <c r="Z362" t="str">
        <f t="shared" si="323"/>
        <v>0,993807529999762+0,446654081485885i</v>
      </c>
      <c r="AA362" s="4">
        <f t="shared" si="337"/>
        <v>1.08956563601842</v>
      </c>
      <c r="AB362" s="4">
        <f t="shared" si="338"/>
        <v>0.422385809210163</v>
      </c>
      <c r="AC362" s="67" t="str">
        <f t="shared" si="339"/>
        <v>-0,194562361922803-1,20952459168525i</v>
      </c>
      <c r="AD362" s="68">
        <f t="shared" si="340"/>
        <v>1.76324051042829</v>
      </c>
      <c r="AE362" s="31">
        <f t="shared" si="341"/>
        <v>-99.1382334483698</v>
      </c>
      <c r="AF362" s="32" t="str">
        <f t="shared" si="342"/>
        <v>249,914648392112</v>
      </c>
      <c r="AG362" s="32" t="str">
        <f t="shared" si="324"/>
        <v>1+181,70595787498i</v>
      </c>
      <c r="AH362" s="32">
        <f t="shared" si="343"/>
        <v>181.70870955258</v>
      </c>
      <c r="AI362" s="32">
        <f t="shared" si="344"/>
        <v>1.5652929854841</v>
      </c>
      <c r="AJ362" s="32" t="str">
        <f t="shared" si="325"/>
        <v>1+2,71347563759971i</v>
      </c>
      <c r="AK362" s="32">
        <f t="shared" si="345"/>
        <v>2.89187655957981</v>
      </c>
      <c r="AL362" s="32">
        <f t="shared" si="346"/>
        <v>1.21770909947775</v>
      </c>
      <c r="AM362" s="32" t="str">
        <f t="shared" si="326"/>
        <v>1-0,274596761608686i</v>
      </c>
      <c r="AN362" s="32">
        <f t="shared" si="347"/>
        <v>1.03701657724743</v>
      </c>
      <c r="AO362" s="32">
        <f t="shared" si="348"/>
        <v>-0.26799128474838</v>
      </c>
      <c r="AP362" s="30" t="str">
        <f t="shared" si="349"/>
        <v>3,36749120403281-2,38165810010484i</v>
      </c>
      <c r="AQ362" s="32">
        <f t="shared" si="350"/>
        <v>12.3076283640475</v>
      </c>
      <c r="AR362" s="31">
        <f t="shared" si="351"/>
        <v>-35.2698592572909</v>
      </c>
      <c r="AS362" t="str">
        <f t="shared" si="327"/>
        <v>-0,000100699300699301</v>
      </c>
      <c r="AT362" t="str">
        <f t="shared" si="328"/>
        <v>0,0388850749852457i</v>
      </c>
      <c r="AU362">
        <f t="shared" si="352"/>
        <v>0.0388850749852457</v>
      </c>
      <c r="AV362">
        <f t="shared" si="353"/>
        <v>1.5707963267949</v>
      </c>
      <c r="AW362" t="str">
        <f t="shared" si="329"/>
        <v>1+1,99084451695096i</v>
      </c>
      <c r="AX362">
        <f t="shared" si="354"/>
        <v>2.22788282696234</v>
      </c>
      <c r="AY362">
        <f t="shared" si="355"/>
        <v>1.10531089277553</v>
      </c>
      <c r="AZ362" t="str">
        <f t="shared" si="330"/>
        <v>1+95,1793112678468i</v>
      </c>
      <c r="BA362">
        <f t="shared" si="356"/>
        <v>95.1845643653511</v>
      </c>
      <c r="BB362">
        <f t="shared" si="357"/>
        <v>1.56029022842427</v>
      </c>
      <c r="BC362" s="30" t="str">
        <f t="shared" si="358"/>
        <v>-0,0486206755070706+0,0993858698061995i</v>
      </c>
      <c r="BD362" s="32">
        <f t="shared" si="359"/>
        <v>-19.121646108335</v>
      </c>
      <c r="BE362" s="31">
        <f t="shared" si="360"/>
        <v>116.068395698339</v>
      </c>
      <c r="BF362" s="30" t="str">
        <f t="shared" si="361"/>
        <v>0,129669407061565+0,0394711531189042i</v>
      </c>
      <c r="BG362" s="68">
        <f t="shared" si="362"/>
        <v>-17.3584055979067</v>
      </c>
      <c r="BH362" s="31">
        <f t="shared" si="363"/>
        <v>16.9301622499691</v>
      </c>
      <c r="BI362" s="30" t="str">
        <f t="shared" si="316"/>
        <v>0,0729734647557063+0,45047886803151i</v>
      </c>
      <c r="BJ362" s="68">
        <f t="shared" si="364"/>
        <v>-6.81401774428753</v>
      </c>
      <c r="BK362" s="31">
        <f t="shared" si="317"/>
        <v>80.798536441048</v>
      </c>
      <c r="BL362" s="32">
        <f t="shared" si="365"/>
        <v>-17.3584055979067</v>
      </c>
      <c r="BM362" s="31">
        <f t="shared" si="366"/>
        <v>16.9301622499691</v>
      </c>
      <c r="BO362">
        <f t="shared" si="367"/>
        <v>0</v>
      </c>
      <c r="BP362">
        <f t="shared" si="368"/>
        <v>0</v>
      </c>
    </row>
    <row r="363" spans="14:68">
      <c r="N363" s="7">
        <v>45</v>
      </c>
      <c r="O363" s="18">
        <f t="shared" si="318"/>
        <v>28183.8293126446</v>
      </c>
      <c r="P363" s="86" t="str">
        <f t="shared" si="319"/>
        <v>75</v>
      </c>
      <c r="Q363" s="4" t="str">
        <f t="shared" si="320"/>
        <v>1+289,237562987534i</v>
      </c>
      <c r="R363" s="4">
        <f t="shared" si="331"/>
        <v>289.239291665167</v>
      </c>
      <c r="S363" s="4">
        <f t="shared" si="332"/>
        <v>1.56733897497226</v>
      </c>
      <c r="T363" s="4" t="str">
        <f t="shared" si="321"/>
        <v>1+2,77668060468033i</v>
      </c>
      <c r="U363" s="4">
        <f t="shared" si="333"/>
        <v>2.95126331939526</v>
      </c>
      <c r="V363" s="4">
        <f t="shared" si="334"/>
        <v>1.22511482254968</v>
      </c>
      <c r="W363" t="str">
        <f t="shared" si="322"/>
        <v>1-1,45651772790151i</v>
      </c>
      <c r="X363" s="4">
        <f t="shared" si="335"/>
        <v>1.76676084733938</v>
      </c>
      <c r="Y363" s="4">
        <f t="shared" si="336"/>
        <v>-0.969141409083385</v>
      </c>
      <c r="Z363" t="str">
        <f t="shared" si="323"/>
        <v>0,993515687879802+0,457057991558103i</v>
      </c>
      <c r="AA363" s="4">
        <f t="shared" si="337"/>
        <v>1.09360661561203</v>
      </c>
      <c r="AB363" s="4">
        <f t="shared" si="338"/>
        <v>0.431172613794231</v>
      </c>
      <c r="AC363" s="67" t="str">
        <f t="shared" si="339"/>
        <v>-0,211284512455909-1,21812546380144i</v>
      </c>
      <c r="AD363" s="68">
        <f t="shared" si="340"/>
        <v>1.8425714372897</v>
      </c>
      <c r="AE363" s="31">
        <f t="shared" si="341"/>
        <v>-99.8400830851292</v>
      </c>
      <c r="AF363" s="32" t="str">
        <f t="shared" si="342"/>
        <v>249,914648392112</v>
      </c>
      <c r="AG363" s="32" t="str">
        <f t="shared" si="324"/>
        <v>1+185,938433349129i</v>
      </c>
      <c r="AH363" s="32">
        <f t="shared" si="343"/>
        <v>185.941122391817</v>
      </c>
      <c r="AI363" s="32">
        <f t="shared" si="344"/>
        <v>1.56541825438271</v>
      </c>
      <c r="AJ363" s="32" t="str">
        <f t="shared" si="325"/>
        <v>1+2,77668060468033i</v>
      </c>
      <c r="AK363" s="32">
        <f t="shared" si="345"/>
        <v>2.95126331939526</v>
      </c>
      <c r="AL363" s="32">
        <f t="shared" si="346"/>
        <v>1.22511482254968</v>
      </c>
      <c r="AM363" s="32" t="str">
        <f t="shared" si="326"/>
        <v>1-0,280992941857157i</v>
      </c>
      <c r="AN363" s="32">
        <f t="shared" si="347"/>
        <v>1.03872856578297</v>
      </c>
      <c r="AO363" s="32">
        <f t="shared" si="348"/>
        <v>-0.273929220196418</v>
      </c>
      <c r="AP363" s="30" t="str">
        <f t="shared" si="349"/>
        <v>3,36715513138855-2,3746452228829i</v>
      </c>
      <c r="AQ363" s="32">
        <f t="shared" si="350"/>
        <v>12.2985259916666</v>
      </c>
      <c r="AR363" s="31">
        <f t="shared" si="351"/>
        <v>-35.1929386004151</v>
      </c>
      <c r="AS363" t="str">
        <f t="shared" si="327"/>
        <v>-0,000100699300699301</v>
      </c>
      <c r="AT363" t="str">
        <f t="shared" si="328"/>
        <v>0,0397908247367137i</v>
      </c>
      <c r="AU363">
        <f t="shared" si="352"/>
        <v>0.0397908247367137</v>
      </c>
      <c r="AV363">
        <f t="shared" si="353"/>
        <v>1.5707963267949</v>
      </c>
      <c r="AW363" t="str">
        <f t="shared" si="329"/>
        <v>1+2,03721724291648i</v>
      </c>
      <c r="AX363">
        <f t="shared" si="354"/>
        <v>2.26941712667289</v>
      </c>
      <c r="AY363">
        <f t="shared" si="355"/>
        <v>1.11448285043863</v>
      </c>
      <c r="AZ363" t="str">
        <f t="shared" si="330"/>
        <v>1+97,3963222304962i</v>
      </c>
      <c r="BA363">
        <f t="shared" si="356"/>
        <v>97.4014557592783</v>
      </c>
      <c r="BB363">
        <f t="shared" si="357"/>
        <v>1.56052935941893</v>
      </c>
      <c r="BC363" s="30" t="str">
        <f t="shared" si="358"/>
        <v>-0,0468572745216817+0,0979891642119026i</v>
      </c>
      <c r="BD363" s="32">
        <f t="shared" si="359"/>
        <v>-19.2821073261745</v>
      </c>
      <c r="BE363" s="31">
        <f t="shared" si="360"/>
        <v>115.556582431115</v>
      </c>
      <c r="BF363" s="30" t="str">
        <f t="shared" si="361"/>
        <v>0,129263312505466+0,0363744464727211i</v>
      </c>
      <c r="BG363" s="68">
        <f t="shared" si="362"/>
        <v>-17.4395358888847</v>
      </c>
      <c r="BH363" s="31">
        <f t="shared" si="363"/>
        <v>15.7164993459862</v>
      </c>
      <c r="BI363" s="30" t="str">
        <f t="shared" si="316"/>
        <v>0,07491378834152+0,441214120196807i</v>
      </c>
      <c r="BJ363" s="68">
        <f t="shared" si="364"/>
        <v>-6.98358133450783</v>
      </c>
      <c r="BK363" s="31">
        <f t="shared" si="317"/>
        <v>80.3636438307002</v>
      </c>
      <c r="BL363" s="32">
        <f t="shared" si="365"/>
        <v>-17.4395358888847</v>
      </c>
      <c r="BM363" s="31">
        <f t="shared" si="366"/>
        <v>15.7164993459862</v>
      </c>
      <c r="BO363">
        <f t="shared" si="367"/>
        <v>0</v>
      </c>
      <c r="BP363">
        <f t="shared" si="368"/>
        <v>0</v>
      </c>
    </row>
    <row r="364" spans="14:68">
      <c r="N364" s="7">
        <v>46</v>
      </c>
      <c r="O364" s="18">
        <f t="shared" si="318"/>
        <v>28840.3150312661</v>
      </c>
      <c r="P364" s="86" t="str">
        <f t="shared" si="319"/>
        <v>75</v>
      </c>
      <c r="Q364" s="4" t="str">
        <f t="shared" si="320"/>
        <v>1+295,974771309507i</v>
      </c>
      <c r="R364" s="4">
        <f t="shared" si="331"/>
        <v>295.97646063786</v>
      </c>
      <c r="S364" s="4">
        <f t="shared" si="332"/>
        <v>1.56741767330199</v>
      </c>
      <c r="T364" s="4" t="str">
        <f t="shared" si="321"/>
        <v>1+2,84135780457127i</v>
      </c>
      <c r="U364" s="4">
        <f t="shared" si="333"/>
        <v>3.0121942456618</v>
      </c>
      <c r="V364" s="4">
        <f t="shared" si="334"/>
        <v>1.2323903436781</v>
      </c>
      <c r="W364" t="str">
        <f t="shared" si="322"/>
        <v>1-1,4904443840943i</v>
      </c>
      <c r="X364" s="4">
        <f t="shared" si="335"/>
        <v>1.79483271144646</v>
      </c>
      <c r="Y364" s="4">
        <f t="shared" si="336"/>
        <v>-0.979840517809964</v>
      </c>
      <c r="Z364" t="str">
        <f t="shared" si="323"/>
        <v>0,993210091664468+0,467704239827323i</v>
      </c>
      <c r="AA364" s="4">
        <f t="shared" si="337"/>
        <v>1.09782218147412</v>
      </c>
      <c r="AB364" s="4">
        <f t="shared" si="338"/>
        <v>0.440099117816253</v>
      </c>
      <c r="AC364" s="67" t="str">
        <f t="shared" si="339"/>
        <v>-0,228529108573161-1,22679399927378i</v>
      </c>
      <c r="AD364" s="68">
        <f t="shared" si="340"/>
        <v>1.92358080215863</v>
      </c>
      <c r="AE364" s="31">
        <f t="shared" si="341"/>
        <v>-100.552200293713</v>
      </c>
      <c r="AF364" s="32" t="str">
        <f t="shared" si="342"/>
        <v>249,914648392112</v>
      </c>
      <c r="AG364" s="32" t="str">
        <f t="shared" si="324"/>
        <v>1+190,269495841826i</v>
      </c>
      <c r="AH364" s="32">
        <f t="shared" si="343"/>
        <v>190.272123675284</v>
      </c>
      <c r="AI364" s="32">
        <f t="shared" si="344"/>
        <v>1.56554067197616</v>
      </c>
      <c r="AJ364" s="32" t="str">
        <f t="shared" si="325"/>
        <v>1+2,84135780457127i</v>
      </c>
      <c r="AK364" s="32">
        <f t="shared" si="345"/>
        <v>3.0121942456618</v>
      </c>
      <c r="AL364" s="32">
        <f t="shared" si="346"/>
        <v>1.2323903436781</v>
      </c>
      <c r="AM364" s="32" t="str">
        <f t="shared" si="326"/>
        <v>1-0,287538108282782i</v>
      </c>
      <c r="AN364" s="32">
        <f t="shared" si="347"/>
        <v>1.04051821882889</v>
      </c>
      <c r="AO364" s="32">
        <f t="shared" si="348"/>
        <v>-0.27998502104329</v>
      </c>
      <c r="AP364" s="30" t="str">
        <f t="shared" si="349"/>
        <v>3,36683418364964-2,36889125125521i</v>
      </c>
      <c r="AQ364" s="32">
        <f t="shared" si="350"/>
        <v>12.2909842064984</v>
      </c>
      <c r="AR364" s="31">
        <f t="shared" si="351"/>
        <v>-35.1300677875384</v>
      </c>
      <c r="AS364" t="str">
        <f t="shared" si="327"/>
        <v>-0,000100699300699301</v>
      </c>
      <c r="AT364" t="str">
        <f t="shared" si="328"/>
        <v>0,0407176721101507i</v>
      </c>
      <c r="AU364">
        <f t="shared" si="352"/>
        <v>0.0407176721101507</v>
      </c>
      <c r="AV364">
        <f t="shared" si="353"/>
        <v>1.5707963267949</v>
      </c>
      <c r="AW364" t="str">
        <f t="shared" si="329"/>
        <v>1+2,08467012842995i</v>
      </c>
      <c r="AX364">
        <f t="shared" si="354"/>
        <v>2.31210932794454</v>
      </c>
      <c r="AY364">
        <f t="shared" si="355"/>
        <v>1.12352654429443</v>
      </c>
      <c r="AZ364" t="str">
        <f t="shared" si="330"/>
        <v>1+99,664974012385i</v>
      </c>
      <c r="BA364">
        <f t="shared" si="356"/>
        <v>99.6699906937358</v>
      </c>
      <c r="BB364">
        <f t="shared" si="357"/>
        <v>1.56076304826225</v>
      </c>
      <c r="BC364" s="30" t="str">
        <f t="shared" si="358"/>
        <v>-0,0451428473576094+0,0965810558561476i</v>
      </c>
      <c r="BD364" s="32">
        <f t="shared" si="359"/>
        <v>-19.4440086851575</v>
      </c>
      <c r="BE364" s="31">
        <f t="shared" si="360"/>
        <v>115.051806326411</v>
      </c>
      <c r="BF364" s="30" t="str">
        <f t="shared" si="361"/>
        <v>0,128801514432936+0,0333093916485873i</v>
      </c>
      <c r="BG364" s="68">
        <f t="shared" si="362"/>
        <v>-17.5204278829989</v>
      </c>
      <c r="BH364" s="31">
        <f t="shared" si="363"/>
        <v>14.4996060326983</v>
      </c>
      <c r="BI364" s="30" t="str">
        <f t="shared" si="316"/>
        <v>0,0768015366237417+0,432110896511643i</v>
      </c>
      <c r="BJ364" s="68">
        <f t="shared" si="364"/>
        <v>-7.15302447865915</v>
      </c>
      <c r="BK364" s="31">
        <f t="shared" si="317"/>
        <v>79.9217385388729</v>
      </c>
      <c r="BL364" s="32">
        <f t="shared" si="365"/>
        <v>-17.5204278829989</v>
      </c>
      <c r="BM364" s="31">
        <f t="shared" si="366"/>
        <v>14.4996060326983</v>
      </c>
      <c r="BO364">
        <f t="shared" si="367"/>
        <v>0</v>
      </c>
      <c r="BP364">
        <f t="shared" si="368"/>
        <v>0</v>
      </c>
    </row>
    <row r="365" spans="14:68">
      <c r="N365" s="7">
        <v>47</v>
      </c>
      <c r="O365" s="18">
        <f t="shared" si="318"/>
        <v>29512.0922666639</v>
      </c>
      <c r="P365" s="86" t="str">
        <f t="shared" si="319"/>
        <v>75</v>
      </c>
      <c r="Q365" s="4" t="str">
        <f t="shared" si="320"/>
        <v>1+302,868909372917i</v>
      </c>
      <c r="R365" s="4">
        <f t="shared" si="331"/>
        <v>302.870560247675</v>
      </c>
      <c r="S365" s="4">
        <f t="shared" si="332"/>
        <v>1.56749458027947</v>
      </c>
      <c r="T365" s="4" t="str">
        <f t="shared" si="321"/>
        <v>1+2,90754152998001i</v>
      </c>
      <c r="U365" s="4">
        <f t="shared" si="333"/>
        <v>3.07470287158914</v>
      </c>
      <c r="V365" s="4">
        <f t="shared" si="334"/>
        <v>1.2395364385532</v>
      </c>
      <c r="W365" t="str">
        <f t="shared" si="322"/>
        <v>1-1,52516129362791i</v>
      </c>
      <c r="X365" s="4">
        <f t="shared" si="335"/>
        <v>1.8237645055162</v>
      </c>
      <c r="Y365" s="4">
        <f t="shared" si="336"/>
        <v>-0.990446636059222</v>
      </c>
      <c r="Z365" t="str">
        <f t="shared" si="323"/>
        <v>0,992890093143216+0,478598471075296i</v>
      </c>
      <c r="AA365" s="4">
        <f t="shared" si="337"/>
        <v>1.10221923117752</v>
      </c>
      <c r="AB365" s="4">
        <f t="shared" si="338"/>
        <v>0.44916499069465</v>
      </c>
      <c r="AC365" s="67" t="str">
        <f t="shared" si="339"/>
        <v>-0,246302236172353-1,23550756897848i</v>
      </c>
      <c r="AD365" s="68">
        <f t="shared" si="340"/>
        <v>2.00616261749395</v>
      </c>
      <c r="AE365" s="31">
        <f t="shared" si="341"/>
        <v>-101.274287728828</v>
      </c>
      <c r="AF365" s="32" t="str">
        <f t="shared" si="342"/>
        <v>249,914648392112</v>
      </c>
      <c r="AG365" s="32" t="str">
        <f t="shared" si="324"/>
        <v>1+194,701441739732i</v>
      </c>
      <c r="AH365" s="32">
        <f t="shared" si="343"/>
        <v>194.704009757196</v>
      </c>
      <c r="AI365" s="32">
        <f t="shared" si="344"/>
        <v>1.56566030315719</v>
      </c>
      <c r="AJ365" s="32" t="str">
        <f t="shared" si="325"/>
        <v>1+2,90754152998001i</v>
      </c>
      <c r="AK365" s="32">
        <f t="shared" si="345"/>
        <v>3.07470287158914</v>
      </c>
      <c r="AL365" s="32">
        <f t="shared" si="346"/>
        <v>1.2395364385532</v>
      </c>
      <c r="AM365" s="32" t="str">
        <f t="shared" si="326"/>
        <v>1-0,294235731219435i</v>
      </c>
      <c r="AN365" s="32">
        <f t="shared" si="347"/>
        <v>1.04238892239233</v>
      </c>
      <c r="AO365" s="32">
        <f t="shared" si="348"/>
        <v>-0.286160120798381</v>
      </c>
      <c r="AP365" s="30" t="str">
        <f t="shared" si="349"/>
        <v>3,36652768015846-2,36439314525112i</v>
      </c>
      <c r="AQ365" s="32">
        <f t="shared" si="350"/>
        <v>12.2849951556503</v>
      </c>
      <c r="AR365" s="31">
        <f t="shared" si="351"/>
        <v>-35.0812882270055</v>
      </c>
      <c r="AS365" t="str">
        <f t="shared" si="327"/>
        <v>-0,000100699300699301</v>
      </c>
      <c r="AT365" t="str">
        <f t="shared" si="328"/>
        <v>0,0416661085323028i</v>
      </c>
      <c r="AU365">
        <f t="shared" si="352"/>
        <v>0.0416661085323028</v>
      </c>
      <c r="AV365">
        <f t="shared" si="353"/>
        <v>1.5707963267949</v>
      </c>
      <c r="AW365" t="str">
        <f t="shared" si="329"/>
        <v>1+2,13322833363939i</v>
      </c>
      <c r="AX365">
        <f t="shared" si="354"/>
        <v>2.35598453378665</v>
      </c>
      <c r="AY365">
        <f t="shared" si="355"/>
        <v>1.13244085109667</v>
      </c>
      <c r="AZ365" t="str">
        <f t="shared" si="330"/>
        <v>1+101,986469482717i</v>
      </c>
      <c r="BA365">
        <f t="shared" si="356"/>
        <v>101.991371976012</v>
      </c>
      <c r="BB365">
        <f t="shared" si="357"/>
        <v>1.560991418757</v>
      </c>
      <c r="BC365" s="30" t="str">
        <f t="shared" si="358"/>
        <v>-0,0434771241942193+0,0951634487868384i</v>
      </c>
      <c r="BD365" s="32">
        <f t="shared" si="359"/>
        <v>-19.6073097475633</v>
      </c>
      <c r="BE365" s="31">
        <f t="shared" si="360"/>
        <v>114.554138834873</v>
      </c>
      <c r="BF365" s="30" t="str">
        <f t="shared" si="361"/>
        <v>0,128283674177614+0,0302773457813039i</v>
      </c>
      <c r="BG365" s="68">
        <f t="shared" si="362"/>
        <v>-17.6011471300694</v>
      </c>
      <c r="BH365" s="31">
        <f t="shared" si="363"/>
        <v>13.2798511060443</v>
      </c>
      <c r="BI365" s="30" t="str">
        <f t="shared" si="316"/>
        <v>0,0786368639365304+0,423167398900277i</v>
      </c>
      <c r="BJ365" s="68">
        <f t="shared" si="364"/>
        <v>-7.32231459191305</v>
      </c>
      <c r="BK365" s="31">
        <f t="shared" si="317"/>
        <v>79.472850607867</v>
      </c>
      <c r="BL365" s="32">
        <f t="shared" si="365"/>
        <v>-17.6011471300694</v>
      </c>
      <c r="BM365" s="31">
        <f t="shared" si="366"/>
        <v>13.2798511060443</v>
      </c>
      <c r="BO365">
        <f t="shared" si="367"/>
        <v>0</v>
      </c>
      <c r="BP365">
        <f t="shared" si="368"/>
        <v>0</v>
      </c>
    </row>
    <row r="366" spans="14:68">
      <c r="N366" s="7">
        <v>48</v>
      </c>
      <c r="O366" s="18">
        <f t="shared" si="318"/>
        <v>30199.5172040202</v>
      </c>
      <c r="P366" s="86" t="str">
        <f t="shared" si="319"/>
        <v>75</v>
      </c>
      <c r="Q366" s="4" t="str">
        <f t="shared" si="320"/>
        <v>1+309,923632541021i</v>
      </c>
      <c r="R366" s="4">
        <f t="shared" si="331"/>
        <v>309.925245837479</v>
      </c>
      <c r="S366" s="4">
        <f t="shared" si="332"/>
        <v>1.56756973667815</v>
      </c>
      <c r="T366" s="4" t="str">
        <f t="shared" si="321"/>
        <v>1+2,9752668723938i</v>
      </c>
      <c r="U366" s="4">
        <f t="shared" si="333"/>
        <v>3.13882349965142</v>
      </c>
      <c r="V366" s="4">
        <f t="shared" si="334"/>
        <v>1.24655397577949</v>
      </c>
      <c r="W366" t="str">
        <f t="shared" si="322"/>
        <v>1-1,56068686386729i</v>
      </c>
      <c r="X366" s="4">
        <f t="shared" si="335"/>
        <v>1.85357586492917</v>
      </c>
      <c r="Y366" s="4">
        <f t="shared" si="336"/>
        <v>-1.00095584258569</v>
      </c>
      <c r="Z366" t="str">
        <f t="shared" si="323"/>
        <v>0,992555013556278+0,489746461567633i</v>
      </c>
      <c r="AA366" s="4">
        <f t="shared" si="337"/>
        <v>1.1068048841389</v>
      </c>
      <c r="AB366" s="4">
        <f t="shared" si="338"/>
        <v>0.458369739679864</v>
      </c>
      <c r="AC366" s="67" t="str">
        <f t="shared" si="339"/>
        <v>-0,26460919246876-1,24424285475289i</v>
      </c>
      <c r="AD366" s="68">
        <f t="shared" si="340"/>
        <v>2.09021006897949</v>
      </c>
      <c r="AE366" s="31">
        <f t="shared" si="341"/>
        <v>-102.006045055962</v>
      </c>
      <c r="AF366" s="32" t="str">
        <f t="shared" si="342"/>
        <v>249,914648392112</v>
      </c>
      <c r="AG366" s="32" t="str">
        <f t="shared" si="324"/>
        <v>1+199,236620919228i</v>
      </c>
      <c r="AH366" s="32">
        <f t="shared" si="343"/>
        <v>199.239130482223</v>
      </c>
      <c r="AI366" s="32">
        <f t="shared" si="344"/>
        <v>1.56577721134213</v>
      </c>
      <c r="AJ366" s="32" t="str">
        <f t="shared" si="325"/>
        <v>1+2,9752668723938i</v>
      </c>
      <c r="AK366" s="32">
        <f t="shared" si="345"/>
        <v>3.13882349965142</v>
      </c>
      <c r="AL366" s="32">
        <f t="shared" si="346"/>
        <v>1.24655397577949</v>
      </c>
      <c r="AM366" s="32" t="str">
        <f t="shared" si="326"/>
        <v>1-0,301089361835452i</v>
      </c>
      <c r="AN366" s="32">
        <f t="shared" si="347"/>
        <v>1.04434419795893</v>
      </c>
      <c r="AO366" s="32">
        <f t="shared" si="348"/>
        <v>-0.292455909114351</v>
      </c>
      <c r="AP366" s="30" t="str">
        <f t="shared" si="349"/>
        <v>3,36623497088536-2,36114853005167i</v>
      </c>
      <c r="AQ366" s="32">
        <f t="shared" si="350"/>
        <v>12.2805525680049</v>
      </c>
      <c r="AR366" s="31">
        <f t="shared" si="351"/>
        <v>-35.0466334061638</v>
      </c>
      <c r="AS366" t="str">
        <f t="shared" si="327"/>
        <v>-0,000100699300699301</v>
      </c>
      <c r="AT366" t="str">
        <f t="shared" si="328"/>
        <v>0,0426366368767147i</v>
      </c>
      <c r="AU366">
        <f t="shared" si="352"/>
        <v>0.0426366368767147</v>
      </c>
      <c r="AV366">
        <f t="shared" si="353"/>
        <v>1.5707963267949</v>
      </c>
      <c r="AW366" t="str">
        <f t="shared" si="329"/>
        <v>1+2,18291760474794i</v>
      </c>
      <c r="AX366">
        <f t="shared" si="354"/>
        <v>2.40106835994282</v>
      </c>
      <c r="AY366">
        <f t="shared" si="355"/>
        <v>1.1412248293323</v>
      </c>
      <c r="AZ366" t="str">
        <f t="shared" si="330"/>
        <v>1+104,362039529119i</v>
      </c>
      <c r="BA366">
        <f t="shared" si="356"/>
        <v>104.366830433224</v>
      </c>
      <c r="BB366">
        <f t="shared" si="357"/>
        <v>1.56121459189292</v>
      </c>
      <c r="BC366" s="30" t="str">
        <f t="shared" si="358"/>
        <v>-0,0418597500095702+0,0937381873775311i</v>
      </c>
      <c r="BD366" s="32">
        <f t="shared" si="359"/>
        <v>-19.7719703330375</v>
      </c>
      <c r="BE366" s="31">
        <f t="shared" si="360"/>
        <v>114.063640833425</v>
      </c>
      <c r="BF366" s="30" t="str">
        <f t="shared" si="361"/>
        <v>0,127709544508957+0,0272797087856961i</v>
      </c>
      <c r="BG366" s="68">
        <f t="shared" si="362"/>
        <v>-17.681760264058</v>
      </c>
      <c r="BH366" s="31">
        <f t="shared" si="363"/>
        <v>12.057595777463</v>
      </c>
      <c r="BI366" s="30" t="str">
        <f t="shared" si="316"/>
        <v>0,0804200289814316+0,414381851661077i</v>
      </c>
      <c r="BJ366" s="68">
        <f t="shared" si="364"/>
        <v>-7.49141776503256</v>
      </c>
      <c r="BK366" s="31">
        <f t="shared" si="317"/>
        <v>79.0170074272608</v>
      </c>
      <c r="BL366" s="32">
        <f t="shared" si="365"/>
        <v>-17.681760264058</v>
      </c>
      <c r="BM366" s="31">
        <f t="shared" si="366"/>
        <v>12.057595777463</v>
      </c>
      <c r="BO366">
        <f t="shared" si="367"/>
        <v>0</v>
      </c>
      <c r="BP366">
        <f t="shared" si="368"/>
        <v>0</v>
      </c>
    </row>
    <row r="367" spans="14:68">
      <c r="N367" s="7">
        <v>49</v>
      </c>
      <c r="O367" s="18">
        <f t="shared" si="318"/>
        <v>30902.954325136</v>
      </c>
      <c r="P367" s="86" t="str">
        <f t="shared" si="319"/>
        <v>75</v>
      </c>
      <c r="Q367" s="4" t="str">
        <f t="shared" si="320"/>
        <v>1+317,142681321422i</v>
      </c>
      <c r="R367" s="4">
        <f t="shared" si="331"/>
        <v>317.144257894954</v>
      </c>
      <c r="S367" s="4">
        <f t="shared" si="332"/>
        <v>1.56764318234356</v>
      </c>
      <c r="T367" s="4" t="str">
        <f t="shared" si="321"/>
        <v>1+3,04456974068565i</v>
      </c>
      <c r="U367" s="4">
        <f t="shared" si="333"/>
        <v>3.20459122290171</v>
      </c>
      <c r="V367" s="4">
        <f t="shared" si="334"/>
        <v>1.2534439105655</v>
      </c>
      <c r="W367" t="str">
        <f t="shared" si="322"/>
        <v>1-1,59703993094002i</v>
      </c>
      <c r="X367" s="4">
        <f t="shared" si="335"/>
        <v>1.88428674596435</v>
      </c>
      <c r="Y367" s="4">
        <f t="shared" si="336"/>
        <v>-1.01136442392253</v>
      </c>
      <c r="Z367" t="str">
        <f t="shared" si="323"/>
        <v>0,992204142154927+0,501154122116455i</v>
      </c>
      <c r="AA367" s="4">
        <f t="shared" si="337"/>
        <v>1.11158648508504</v>
      </c>
      <c r="AB367" s="4">
        <f t="shared" si="338"/>
        <v>0.46771270364299</v>
      </c>
      <c r="AC367" s="67" t="str">
        <f t="shared" si="339"/>
        <v>-0,283454419460475-1,25297587361726i</v>
      </c>
      <c r="AD367" s="68">
        <f t="shared" si="340"/>
        <v>2.17561570120117</v>
      </c>
      <c r="AE367" s="31">
        <f t="shared" si="341"/>
        <v>-102.747169182804</v>
      </c>
      <c r="AF367" s="32" t="str">
        <f t="shared" si="342"/>
        <v>249,914648392112</v>
      </c>
      <c r="AG367" s="32" t="str">
        <f t="shared" si="324"/>
        <v>1+203,877437992343i</v>
      </c>
      <c r="AH367" s="32">
        <f t="shared" si="343"/>
        <v>203.879890431405</v>
      </c>
      <c r="AI367" s="32">
        <f t="shared" si="344"/>
        <v>1.56589145850447</v>
      </c>
      <c r="AJ367" s="32" t="str">
        <f t="shared" si="325"/>
        <v>1+3,04456974068565i</v>
      </c>
      <c r="AK367" s="32">
        <f t="shared" si="345"/>
        <v>3.20459122290171</v>
      </c>
      <c r="AL367" s="32">
        <f t="shared" si="346"/>
        <v>1.2534439105655</v>
      </c>
      <c r="AM367" s="32" t="str">
        <f t="shared" si="326"/>
        <v>1-0,308102634016502i</v>
      </c>
      <c r="AN367" s="32">
        <f t="shared" si="347"/>
        <v>1.04638770686964</v>
      </c>
      <c r="AO367" s="32">
        <f t="shared" si="348"/>
        <v>-0.298873726983715</v>
      </c>
      <c r="AP367" s="30" t="str">
        <f t="shared" si="349"/>
        <v>3,3659554350509-2,35915569477883i</v>
      </c>
      <c r="AQ367" s="32">
        <f t="shared" si="350"/>
        <v>12.2776517723144</v>
      </c>
      <c r="AR367" s="31">
        <f t="shared" si="351"/>
        <v>-35.0261289796266</v>
      </c>
      <c r="AS367" t="str">
        <f t="shared" si="327"/>
        <v>-0,000100699300699301</v>
      </c>
      <c r="AT367" t="str">
        <f t="shared" si="328"/>
        <v>0,0436297717303614i</v>
      </c>
      <c r="AU367">
        <f t="shared" si="352"/>
        <v>0.0436297717303614</v>
      </c>
      <c r="AV367">
        <f t="shared" si="353"/>
        <v>1.5707963267949</v>
      </c>
      <c r="AW367" t="str">
        <f t="shared" si="329"/>
        <v>1+2,23376428766485i</v>
      </c>
      <c r="AX367">
        <f t="shared" si="354"/>
        <v>2.44738695200552</v>
      </c>
      <c r="AY367">
        <f t="shared" si="355"/>
        <v>1.14987771330791</v>
      </c>
      <c r="AZ367" t="str">
        <f t="shared" si="330"/>
        <v>1+106,792943710275i</v>
      </c>
      <c r="BA367">
        <f t="shared" si="356"/>
        <v>106.797625564925</v>
      </c>
      <c r="BB367">
        <f t="shared" si="357"/>
        <v>1.56143268591036</v>
      </c>
      <c r="BC367" s="30" t="str">
        <f t="shared" si="358"/>
        <v>-0,0402902905695639+0,0923070531847081i</v>
      </c>
      <c r="BD367" s="32">
        <f t="shared" si="359"/>
        <v>-19.9379505868113</v>
      </c>
      <c r="BE367" s="31">
        <f t="shared" si="360"/>
        <v>113.580362967743</v>
      </c>
      <c r="BF367" s="30" t="str">
        <f t="shared" si="361"/>
        <v>0,127078971528434+0,024317919852114i</v>
      </c>
      <c r="BG367" s="68">
        <f t="shared" si="362"/>
        <v>-17.7623348856102</v>
      </c>
      <c r="BH367" s="31">
        <f t="shared" si="363"/>
        <v>10.8331937849385</v>
      </c>
      <c r="BI367" s="30" t="str">
        <f t="shared" si="316"/>
        <v>0,0821513876665528+0,405752495802081i</v>
      </c>
      <c r="BJ367" s="68">
        <f t="shared" si="364"/>
        <v>-7.66029881449695</v>
      </c>
      <c r="BK367" s="31">
        <f t="shared" si="317"/>
        <v>78.5542339881161</v>
      </c>
      <c r="BL367" s="32">
        <f t="shared" si="365"/>
        <v>-17.7623348856102</v>
      </c>
      <c r="BM367" s="31">
        <f t="shared" si="366"/>
        <v>10.8331937849385</v>
      </c>
      <c r="BO367">
        <f t="shared" si="367"/>
        <v>0</v>
      </c>
      <c r="BP367">
        <f t="shared" si="368"/>
        <v>0</v>
      </c>
    </row>
    <row r="368" spans="14:68">
      <c r="N368" s="7">
        <v>50</v>
      </c>
      <c r="O368" s="18">
        <f t="shared" si="318"/>
        <v>31622.7766016838</v>
      </c>
      <c r="P368" s="86" t="str">
        <f t="shared" si="319"/>
        <v>75</v>
      </c>
      <c r="Q368" s="4" t="str">
        <f t="shared" si="320"/>
        <v>1+324,529883349339i</v>
      </c>
      <c r="R368" s="4">
        <f t="shared" si="331"/>
        <v>324.531424035848</v>
      </c>
      <c r="S368" s="4">
        <f t="shared" si="332"/>
        <v>1.56771495621438</v>
      </c>
      <c r="T368" s="4" t="str">
        <f t="shared" si="321"/>
        <v>1+3,11548688015366i</v>
      </c>
      <c r="U368" s="4">
        <f t="shared" si="333"/>
        <v>3.27204194661523</v>
      </c>
      <c r="V368" s="4">
        <f t="shared" si="334"/>
        <v>1.26020727857623</v>
      </c>
      <c r="W368" t="str">
        <f t="shared" si="322"/>
        <v>1-1,63423976972346i</v>
      </c>
      <c r="X368" s="4">
        <f t="shared" si="335"/>
        <v>1.91591743688129</v>
      </c>
      <c r="Y368" s="4">
        <f t="shared" si="336"/>
        <v>-1.02166887733673</v>
      </c>
      <c r="Z368" t="str">
        <f t="shared" si="323"/>
        <v>0,991836734693878+0,512827501214381i</v>
      </c>
      <c r="AA368" s="4">
        <f t="shared" si="337"/>
        <v>1.11657160732754</v>
      </c>
      <c r="AB368" s="4">
        <f t="shared" si="338"/>
        <v>0.477193047113992</v>
      </c>
      <c r="AC368" s="67" t="str">
        <f t="shared" si="339"/>
        <v>-0,302841437125783-1,26168200778063i</v>
      </c>
      <c r="AD368" s="68">
        <f t="shared" si="340"/>
        <v>2.26227160526481</v>
      </c>
      <c r="AE368" s="31">
        <f t="shared" si="341"/>
        <v>-103.497354440418</v>
      </c>
      <c r="AF368" s="32" t="str">
        <f t="shared" si="342"/>
        <v>249,914648392112</v>
      </c>
      <c r="AG368" s="32" t="str">
        <f t="shared" si="324"/>
        <v>1+208,626353581718i</v>
      </c>
      <c r="AH368" s="32">
        <f t="shared" si="343"/>
        <v>208.6287501971</v>
      </c>
      <c r="AI368" s="32">
        <f t="shared" si="344"/>
        <v>1.56600310520761</v>
      </c>
      <c r="AJ368" s="32" t="str">
        <f t="shared" si="325"/>
        <v>1+3,11548688015366i</v>
      </c>
      <c r="AK368" s="32">
        <f t="shared" si="345"/>
        <v>3.27204194661523</v>
      </c>
      <c r="AL368" s="32">
        <f t="shared" si="346"/>
        <v>1.26020727857623</v>
      </c>
      <c r="AM368" s="32" t="str">
        <f t="shared" si="326"/>
        <v>1-0,315279266292328i</v>
      </c>
      <c r="AN368" s="32">
        <f t="shared" si="347"/>
        <v>1.04852325475109</v>
      </c>
      <c r="AO368" s="32">
        <f t="shared" si="348"/>
        <v>-0.305414861722877</v>
      </c>
      <c r="AP368" s="30" t="str">
        <f t="shared" si="349"/>
        <v>3,36568847980975-2,3584135916335i</v>
      </c>
      <c r="AQ368" s="32">
        <f t="shared" si="350"/>
        <v>12.2762897106122</v>
      </c>
      <c r="AR368" s="31">
        <f t="shared" si="351"/>
        <v>-35.0197928359851</v>
      </c>
      <c r="AS368" t="str">
        <f t="shared" si="327"/>
        <v>-0,000100699300699301</v>
      </c>
      <c r="AT368" t="str">
        <f t="shared" si="328"/>
        <v>0,0446460396664877i</v>
      </c>
      <c r="AU368">
        <f t="shared" si="352"/>
        <v>0.0446460396664877</v>
      </c>
      <c r="AV368">
        <f t="shared" si="353"/>
        <v>1.5707963267949</v>
      </c>
      <c r="AW368" t="str">
        <f t="shared" si="329"/>
        <v>1+2,28579534197445i</v>
      </c>
      <c r="AX368">
        <f t="shared" si="354"/>
        <v>2.49496700286639</v>
      </c>
      <c r="AY368">
        <f t="shared" si="355"/>
        <v>1.15839890696319</v>
      </c>
      <c r="AZ368" t="str">
        <f t="shared" si="330"/>
        <v>1+109,280470923757i</v>
      </c>
      <c r="BA368">
        <f t="shared" si="356"/>
        <v>109.285046210898</v>
      </c>
      <c r="BB368">
        <f t="shared" si="357"/>
        <v>1.56164581636263</v>
      </c>
      <c r="BC368" s="30" t="str">
        <f t="shared" si="358"/>
        <v>-0,0387682384162718+0,0908717623326027i</v>
      </c>
      <c r="BD368" s="32">
        <f t="shared" si="359"/>
        <v>-20.1052110429504</v>
      </c>
      <c r="BE368" s="31">
        <f t="shared" si="360"/>
        <v>113.104346010282</v>
      </c>
      <c r="BF368" s="30" t="str">
        <f t="shared" si="361"/>
        <v>0,126391896587181+0,021393453784202i</v>
      </c>
      <c r="BG368" s="68">
        <f t="shared" si="362"/>
        <v>-17.8429394376856</v>
      </c>
      <c r="BH368" s="31">
        <f t="shared" si="363"/>
        <v>9.60699156986406</v>
      </c>
      <c r="BI368" s="30" t="str">
        <f t="shared" si="316"/>
        <v>0,0838313859607356+0,397277584027474i</v>
      </c>
      <c r="BJ368" s="68">
        <f t="shared" si="364"/>
        <v>-7.82892133233816</v>
      </c>
      <c r="BK368" s="31">
        <f t="shared" si="317"/>
        <v>78.0845531742974</v>
      </c>
      <c r="BL368" s="32">
        <f t="shared" si="365"/>
        <v>-17.8429394376856</v>
      </c>
      <c r="BM368" s="31">
        <f t="shared" si="366"/>
        <v>9.60699156986406</v>
      </c>
      <c r="BO368">
        <f t="shared" si="367"/>
        <v>0</v>
      </c>
      <c r="BP368">
        <f t="shared" si="368"/>
        <v>0</v>
      </c>
    </row>
    <row r="369" spans="14:68">
      <c r="N369" s="7">
        <v>51</v>
      </c>
      <c r="O369" s="18">
        <f t="shared" si="318"/>
        <v>32359.3656929629</v>
      </c>
      <c r="P369" s="86" t="str">
        <f t="shared" si="319"/>
        <v>75</v>
      </c>
      <c r="Q369" s="4" t="str">
        <f t="shared" si="320"/>
        <v>1+332,089155417071i</v>
      </c>
      <c r="R369" s="4">
        <f t="shared" si="331"/>
        <v>332.090661033435</v>
      </c>
      <c r="S369" s="4">
        <f t="shared" si="332"/>
        <v>1.56778509634312</v>
      </c>
      <c r="T369" s="4" t="str">
        <f t="shared" si="321"/>
        <v>1+3,18805589200388i</v>
      </c>
      <c r="U369" s="4">
        <f t="shared" si="333"/>
        <v>3.34121241026976</v>
      </c>
      <c r="V369" s="4">
        <f t="shared" si="334"/>
        <v>1.2668451899616</v>
      </c>
      <c r="W369" t="str">
        <f t="shared" si="322"/>
        <v>1-1,67230610406454i</v>
      </c>
      <c r="X369" s="4">
        <f t="shared" si="335"/>
        <v>1.94848856955629</v>
      </c>
      <c r="Y369" s="4">
        <f t="shared" si="336"/>
        <v>-1.03186591284579</v>
      </c>
      <c r="Z369" t="str">
        <f t="shared" si="323"/>
        <v>0,991452011852646+0,524772788241528i</v>
      </c>
      <c r="AA369" s="4">
        <f t="shared" si="337"/>
        <v>1.12176805583215</v>
      </c>
      <c r="AB369" s="4">
        <f t="shared" si="338"/>
        <v>0.486809754619801</v>
      </c>
      <c r="AC369" s="67" t="str">
        <f t="shared" si="339"/>
        <v>-0,322772776840646-1,27033604066754i</v>
      </c>
      <c r="AD369" s="68">
        <f t="shared" si="340"/>
        <v>2.3500696078965</v>
      </c>
      <c r="AE369" s="31">
        <f t="shared" si="341"/>
        <v>-104.256292717715</v>
      </c>
      <c r="AF369" s="32" t="str">
        <f t="shared" si="342"/>
        <v>249,914648392112</v>
      </c>
      <c r="AG369" s="32" t="str">
        <f t="shared" si="324"/>
        <v>1+213,48588562526i</v>
      </c>
      <c r="AH369" s="32">
        <f t="shared" si="343"/>
        <v>213.488227687621</v>
      </c>
      <c r="AI369" s="32">
        <f t="shared" si="344"/>
        <v>1.56611221063699</v>
      </c>
      <c r="AJ369" s="32" t="str">
        <f t="shared" si="325"/>
        <v>1+3,18805589200388i</v>
      </c>
      <c r="AK369" s="32">
        <f t="shared" si="345"/>
        <v>3.34121241026976</v>
      </c>
      <c r="AL369" s="32">
        <f t="shared" si="346"/>
        <v>1.2668451899616</v>
      </c>
      <c r="AM369" s="32" t="str">
        <f t="shared" si="326"/>
        <v>1-0,322623063808358i</v>
      </c>
      <c r="AN369" s="32">
        <f t="shared" si="347"/>
        <v>1.05075479599243</v>
      </c>
      <c r="AO369" s="32">
        <f t="shared" si="348"/>
        <v>-0.31208054174594</v>
      </c>
      <c r="AP369" s="30" t="str">
        <f t="shared" si="349"/>
        <v>3,36543353899397-2,35892183538207i</v>
      </c>
      <c r="AQ369" s="32">
        <f t="shared" si="350"/>
        <v>12.2764649469745</v>
      </c>
      <c r="AR369" s="31">
        <f t="shared" si="351"/>
        <v>-35.0276351423532</v>
      </c>
      <c r="AS369" t="str">
        <f t="shared" si="327"/>
        <v>-0,000100699300699301</v>
      </c>
      <c r="AT369" t="str">
        <f t="shared" si="328"/>
        <v>0,0456859795238055i</v>
      </c>
      <c r="AU369">
        <f t="shared" si="352"/>
        <v>0.0456859795238055</v>
      </c>
      <c r="AV369">
        <f t="shared" si="353"/>
        <v>1.5707963267949</v>
      </c>
      <c r="AW369" t="str">
        <f t="shared" si="329"/>
        <v>1+2,33903835523045i</v>
      </c>
      <c r="AX369">
        <f t="shared" si="354"/>
        <v>2.54383577049289</v>
      </c>
      <c r="AY369">
        <f t="shared" si="355"/>
        <v>1.16678797746061</v>
      </c>
      <c r="AZ369" t="str">
        <f t="shared" si="330"/>
        <v>1+111,825940089422i</v>
      </c>
      <c r="BA369">
        <f t="shared" si="356"/>
        <v>111.830411234525</v>
      </c>
      <c r="BB369">
        <f t="shared" si="357"/>
        <v>1.56185409617683</v>
      </c>
      <c r="BC369" s="30" t="str">
        <f t="shared" si="358"/>
        <v>-0,0372930188136668+0,0894339634028226i</v>
      </c>
      <c r="BD369" s="32">
        <f t="shared" si="359"/>
        <v>-20.2737126826512</v>
      </c>
      <c r="BE369" s="31">
        <f t="shared" si="360"/>
        <v>112.635621231054</v>
      </c>
      <c r="BF369" s="30" t="str">
        <f t="shared" si="361"/>
        <v>0,125648358209605+0,0185078171528998i</v>
      </c>
      <c r="BG369" s="68">
        <f t="shared" si="362"/>
        <v>-17.9236430747547</v>
      </c>
      <c r="BH369" s="31">
        <f t="shared" si="363"/>
        <v>8.3793285133387</v>
      </c>
      <c r="BI369" s="30" t="str">
        <f t="shared" si="316"/>
        <v>0,0854605528098318+0,388955376347891i</v>
      </c>
      <c r="BJ369" s="68">
        <f t="shared" si="364"/>
        <v>-7.99724773567672</v>
      </c>
      <c r="BK369" s="31">
        <f t="shared" si="317"/>
        <v>77.6079860887005</v>
      </c>
      <c r="BL369" s="32">
        <f t="shared" si="365"/>
        <v>-17.9236430747547</v>
      </c>
      <c r="BM369" s="31">
        <f t="shared" si="366"/>
        <v>8.3793285133387</v>
      </c>
      <c r="BO369">
        <f t="shared" si="367"/>
        <v>0</v>
      </c>
      <c r="BP369">
        <f t="shared" si="368"/>
        <v>0</v>
      </c>
    </row>
    <row r="370" spans="14:68">
      <c r="N370" s="7">
        <v>52</v>
      </c>
      <c r="O370" s="18">
        <f t="shared" si="318"/>
        <v>33113.1121482591</v>
      </c>
      <c r="P370" s="86" t="str">
        <f t="shared" si="319"/>
        <v>75</v>
      </c>
      <c r="Q370" s="4" t="str">
        <f t="shared" si="320"/>
        <v>1+339,82450555072i</v>
      </c>
      <c r="R370" s="4">
        <f t="shared" si="331"/>
        <v>339.825976895221</v>
      </c>
      <c r="S370" s="4">
        <f t="shared" si="332"/>
        <v>1.56785363991624</v>
      </c>
      <c r="T370" s="4" t="str">
        <f t="shared" si="321"/>
        <v>1+3,26231525328692i</v>
      </c>
      <c r="U370" s="4">
        <f t="shared" si="333"/>
        <v>3.41214020987246</v>
      </c>
      <c r="V370" s="4">
        <f t="shared" si="334"/>
        <v>1.27335882357151</v>
      </c>
      <c r="W370" t="str">
        <f t="shared" si="322"/>
        <v>1-1,71125911723756i</v>
      </c>
      <c r="X370" s="4">
        <f t="shared" si="335"/>
        <v>1.98202113165543</v>
      </c>
      <c r="Y370" s="4">
        <f t="shared" si="336"/>
        <v>-1.04195245432728</v>
      </c>
      <c r="Z370" t="str">
        <f t="shared" si="323"/>
        <v>0,991049157582505+0,536996316747184i</v>
      </c>
      <c r="AA370" s="4">
        <f t="shared" si="337"/>
        <v>1.12718387006958</v>
      </c>
      <c r="AB370" s="4">
        <f t="shared" si="338"/>
        <v>0.496561625374433</v>
      </c>
      <c r="AC370" s="67" t="str">
        <f t="shared" si="339"/>
        <v>-0,343249915548017-1,27891219916275i</v>
      </c>
      <c r="AD370" s="68">
        <f t="shared" si="340"/>
        <v>2.43890146156216</v>
      </c>
      <c r="AE370" s="31">
        <f t="shared" si="341"/>
        <v>-105.023673553395</v>
      </c>
      <c r="AF370" s="32" t="str">
        <f t="shared" si="342"/>
        <v>249,914648392112</v>
      </c>
      <c r="AG370" s="32" t="str">
        <f t="shared" si="324"/>
        <v>1+218,458610711177i</v>
      </c>
      <c r="AH370" s="32">
        <f t="shared" si="343"/>
        <v>218.460899462255</v>
      </c>
      <c r="AI370" s="32">
        <f t="shared" si="344"/>
        <v>1.56621883263135</v>
      </c>
      <c r="AJ370" s="32" t="str">
        <f t="shared" si="325"/>
        <v>1+3,26231525328692i</v>
      </c>
      <c r="AK370" s="32">
        <f t="shared" si="345"/>
        <v>3.41214020987246</v>
      </c>
      <c r="AL370" s="32">
        <f t="shared" si="346"/>
        <v>1.27335882357151</v>
      </c>
      <c r="AM370" s="32" t="str">
        <f t="shared" si="326"/>
        <v>1-0,330137920343237i</v>
      </c>
      <c r="AN370" s="32">
        <f t="shared" si="347"/>
        <v>1.05308643826068</v>
      </c>
      <c r="AO370" s="32">
        <f t="shared" si="348"/>
        <v>-0.318871931132118</v>
      </c>
      <c r="AP370" s="30" t="str">
        <f t="shared" si="349"/>
        <v>3,36519007191288-2,36068070319154i</v>
      </c>
      <c r="AQ370" s="32">
        <f t="shared" si="350"/>
        <v>12.278177671649</v>
      </c>
      <c r="AR370" s="31">
        <f t="shared" si="351"/>
        <v>-35.0496583663486</v>
      </c>
      <c r="AS370" t="str">
        <f t="shared" si="327"/>
        <v>-0,000100699300699301</v>
      </c>
      <c r="AT370" t="str">
        <f t="shared" si="328"/>
        <v>0,0467501426921921i</v>
      </c>
      <c r="AU370">
        <f t="shared" si="352"/>
        <v>0.0467501426921921</v>
      </c>
      <c r="AV370">
        <f t="shared" si="353"/>
        <v>1.5707963267949</v>
      </c>
      <c r="AW370" t="str">
        <f t="shared" si="329"/>
        <v>1+2,39352155758321i</v>
      </c>
      <c r="AX370">
        <f t="shared" si="354"/>
        <v>2.59402109602361</v>
      </c>
      <c r="AY370">
        <f t="shared" si="355"/>
        <v>1.1750446485982</v>
      </c>
      <c r="AZ370" t="str">
        <f t="shared" si="330"/>
        <v>1+114,430700848712i</v>
      </c>
      <c r="BA370">
        <f t="shared" si="356"/>
        <v>114.435070222058</v>
      </c>
      <c r="BB370">
        <f t="shared" si="357"/>
        <v>1.56205763571334</v>
      </c>
      <c r="BC370" s="30" t="str">
        <f t="shared" si="358"/>
        <v>-0,035863995613092+0,0879952358033982i</v>
      </c>
      <c r="BD370" s="32">
        <f t="shared" si="359"/>
        <v>-20.4434169876382</v>
      </c>
      <c r="BE370" s="31">
        <f t="shared" si="360"/>
        <v>112.174210778448</v>
      </c>
      <c r="BF370" s="30" t="str">
        <f t="shared" si="361"/>
        <v>0,124848494002577+0,0156625442421584i</v>
      </c>
      <c r="BG370" s="68">
        <f t="shared" si="362"/>
        <v>-18.004515526076</v>
      </c>
      <c r="BH370" s="31">
        <f t="shared" si="363"/>
        <v>7.15053722505297</v>
      </c>
      <c r="BI370" s="30" t="str">
        <f t="shared" ref="BI370:BI433" si="369">IMPRODUCT(AP370,BC370)</f>
        <v>0,0870394931575671+0,380784136284401i</v>
      </c>
      <c r="BJ370" s="68">
        <f t="shared" si="364"/>
        <v>-8.16523931598918</v>
      </c>
      <c r="BK370" s="31">
        <f t="shared" ref="BK370:BK433" si="370">(180/PI())*IMARGUMENT(BI370)</f>
        <v>77.1245524120998</v>
      </c>
      <c r="BL370" s="32">
        <f t="shared" si="365"/>
        <v>-18.004515526076</v>
      </c>
      <c r="BM370" s="31">
        <f t="shared" si="366"/>
        <v>7.15053722505297</v>
      </c>
      <c r="BO370">
        <f t="shared" si="367"/>
        <v>0</v>
      </c>
      <c r="BP370">
        <f t="shared" si="368"/>
        <v>0</v>
      </c>
    </row>
    <row r="371" spans="14:68">
      <c r="N371" s="7">
        <v>53</v>
      </c>
      <c r="O371" s="18">
        <f t="shared" si="318"/>
        <v>33884.4156139203</v>
      </c>
      <c r="P371" s="86" t="str">
        <f t="shared" si="319"/>
        <v>75</v>
      </c>
      <c r="Q371" s="4" t="str">
        <f t="shared" si="320"/>
        <v>1+347,740035135326i</v>
      </c>
      <c r="R371" s="4">
        <f t="shared" si="331"/>
        <v>347.741472988077</v>
      </c>
      <c r="S371" s="4">
        <f t="shared" si="332"/>
        <v>1.56792062327387</v>
      </c>
      <c r="T371" s="4" t="str">
        <f t="shared" si="321"/>
        <v>1+3,33830433729914i</v>
      </c>
      <c r="U371" s="4">
        <f t="shared" si="333"/>
        <v>3.48486382064353</v>
      </c>
      <c r="V371" s="4">
        <f t="shared" si="334"/>
        <v>1.27974942136642</v>
      </c>
      <c r="W371" t="str">
        <f t="shared" si="322"/>
        <v>1-1,75111946264575i</v>
      </c>
      <c r="X371" s="4">
        <f t="shared" si="335"/>
        <v>2.01653647932705</v>
      </c>
      <c r="Y371" s="4">
        <f t="shared" si="336"/>
        <v>-1.051925639758</v>
      </c>
      <c r="Z371" t="str">
        <f t="shared" si="323"/>
        <v>0,990627317375536+0,549504567807973i</v>
      </c>
      <c r="AA371" s="4">
        <f t="shared" si="337"/>
        <v>1.13282732663565</v>
      </c>
      <c r="AB371" s="4">
        <f t="shared" si="338"/>
        <v>0.506447268374878</v>
      </c>
      <c r="AC371" s="67" t="str">
        <f t="shared" si="339"/>
        <v>-0,364273211252592-1,28738420222575i</v>
      </c>
      <c r="AD371" s="68">
        <f t="shared" si="340"/>
        <v>2.52865903514534</v>
      </c>
      <c r="AE371" s="31">
        <f t="shared" si="341"/>
        <v>-105.799184190051</v>
      </c>
      <c r="AF371" s="32" t="str">
        <f t="shared" si="342"/>
        <v>249,914648392112</v>
      </c>
      <c r="AG371" s="32" t="str">
        <f t="shared" si="324"/>
        <v>1+223,547165444138i</v>
      </c>
      <c r="AH371" s="32">
        <f t="shared" si="343"/>
        <v>223.549402097408</v>
      </c>
      <c r="AI371" s="32">
        <f t="shared" si="344"/>
        <v>1.56632302771338</v>
      </c>
      <c r="AJ371" s="32" t="str">
        <f t="shared" si="325"/>
        <v>1+3,33830433729914i</v>
      </c>
      <c r="AK371" s="32">
        <f t="shared" si="345"/>
        <v>3.48486382064353</v>
      </c>
      <c r="AL371" s="32">
        <f t="shared" si="346"/>
        <v>1.27974942136642</v>
      </c>
      <c r="AM371" s="32" t="str">
        <f t="shared" si="326"/>
        <v>1-0,337827820373379i</v>
      </c>
      <c r="AN371" s="32">
        <f t="shared" si="347"/>
        <v>1.05552244704612</v>
      </c>
      <c r="AO371" s="32">
        <f t="shared" si="348"/>
        <v>-0.325790123992224</v>
      </c>
      <c r="AP371" s="30" t="str">
        <f t="shared" si="349"/>
        <v>3,36495756220661-2,36369113481311i</v>
      </c>
      <c r="AQ371" s="32">
        <f t="shared" si="350"/>
        <v>12.281429700562</v>
      </c>
      <c r="AR371" s="31">
        <f t="shared" si="351"/>
        <v>-35.0858572753224</v>
      </c>
      <c r="AS371" t="str">
        <f t="shared" si="327"/>
        <v>-0,000100699300699301</v>
      </c>
      <c r="AT371" t="str">
        <f t="shared" si="328"/>
        <v>0,0478390934050456i</v>
      </c>
      <c r="AU371">
        <f t="shared" si="352"/>
        <v>0.0478390934050456</v>
      </c>
      <c r="AV371">
        <f t="shared" si="353"/>
        <v>1.5707963267949</v>
      </c>
      <c r="AW371" t="str">
        <f t="shared" si="329"/>
        <v>1+2,44927383674783i</v>
      </c>
      <c r="AX371">
        <f t="shared" si="354"/>
        <v>2.645551422176</v>
      </c>
      <c r="AY371">
        <f t="shared" si="355"/>
        <v>1.18316879408993</v>
      </c>
      <c r="AZ371" t="str">
        <f t="shared" si="330"/>
        <v>1+117,096134280263i</v>
      </c>
      <c r="BA371">
        <f t="shared" si="356"/>
        <v>117.100404198198</v>
      </c>
      <c r="BB371">
        <f t="shared" si="357"/>
        <v>1.56225654282402</v>
      </c>
      <c r="BC371" s="30" t="str">
        <f t="shared" si="358"/>
        <v>-0,0344804770049568+0,0865570885898515i</v>
      </c>
      <c r="BD371" s="32">
        <f t="shared" si="359"/>
        <v>-20.6142859887403</v>
      </c>
      <c r="BE371" s="31">
        <f t="shared" si="360"/>
        <v>111.720128067579</v>
      </c>
      <c r="BF371" s="30" t="str">
        <f t="shared" si="361"/>
        <v>0,123992542525346+0,0128591927640893i</v>
      </c>
      <c r="BG371" s="68">
        <f t="shared" si="362"/>
        <v>-18.085626953595</v>
      </c>
      <c r="BH371" s="31">
        <f t="shared" si="363"/>
        <v>5.920943877528</v>
      </c>
      <c r="BI371" s="30" t="str">
        <f t="shared" si="369"/>
        <v>0,0885688811087445+0,372762127633752i</v>
      </c>
      <c r="BJ371" s="68">
        <f t="shared" si="364"/>
        <v>-8.33285628817832</v>
      </c>
      <c r="BK371" s="31">
        <f t="shared" si="370"/>
        <v>76.6342707922567</v>
      </c>
      <c r="BL371" s="32">
        <f t="shared" si="365"/>
        <v>-18.085626953595</v>
      </c>
      <c r="BM371" s="31">
        <f t="shared" si="366"/>
        <v>5.920943877528</v>
      </c>
      <c r="BO371">
        <f t="shared" si="367"/>
        <v>0</v>
      </c>
      <c r="BP371">
        <f t="shared" si="368"/>
        <v>0</v>
      </c>
    </row>
    <row r="372" spans="14:68">
      <c r="N372" s="7">
        <v>54</v>
      </c>
      <c r="O372" s="18">
        <f t="shared" si="318"/>
        <v>34673.6850452532</v>
      </c>
      <c r="P372" s="86" t="str">
        <f t="shared" si="319"/>
        <v>75</v>
      </c>
      <c r="Q372" s="4" t="str">
        <f t="shared" si="320"/>
        <v>1+355,839941089441i</v>
      </c>
      <c r="R372" s="4">
        <f t="shared" si="331"/>
        <v>355.841346212799</v>
      </c>
      <c r="S372" s="4">
        <f t="shared" si="332"/>
        <v>1.56798608192906</v>
      </c>
      <c r="T372" s="4" t="str">
        <f t="shared" si="321"/>
        <v>1+3,41606343445864i</v>
      </c>
      <c r="U372" s="4">
        <f t="shared" si="333"/>
        <v>3.5594226200671</v>
      </c>
      <c r="V372" s="4">
        <f t="shared" si="334"/>
        <v>1.28601828303018</v>
      </c>
      <c r="W372" t="str">
        <f t="shared" si="322"/>
        <v>1-1,79190827477183i</v>
      </c>
      <c r="X372" s="4">
        <f t="shared" si="335"/>
        <v>2.05205635039483</v>
      </c>
      <c r="Y372" s="4">
        <f t="shared" si="336"/>
        <v>-1.06178282062437</v>
      </c>
      <c r="Z372" t="str">
        <f t="shared" si="323"/>
        <v>0,990185596452103+0,562304173464161i</v>
      </c>
      <c r="AA372" s="4">
        <f t="shared" si="337"/>
        <v>1.13870694163003</v>
      </c>
      <c r="AB372" s="4">
        <f t="shared" si="338"/>
        <v>0.516465097957406</v>
      </c>
      <c r="AC372" s="67" t="str">
        <f t="shared" si="339"/>
        <v>-0,385841840452289-1,2957253159745i</v>
      </c>
      <c r="AD372" s="68">
        <f t="shared" si="340"/>
        <v>2.61923450472063</v>
      </c>
      <c r="AE372" s="31">
        <f t="shared" si="341"/>
        <v>-106.582509595542</v>
      </c>
      <c r="AF372" s="32" t="str">
        <f t="shared" si="342"/>
        <v>249,914648392112</v>
      </c>
      <c r="AG372" s="32" t="str">
        <f t="shared" si="324"/>
        <v>1+228,754247843212i</v>
      </c>
      <c r="AH372" s="32">
        <f t="shared" si="343"/>
        <v>228.75643358453</v>
      </c>
      <c r="AI372" s="32">
        <f t="shared" si="344"/>
        <v>1.56642485111964</v>
      </c>
      <c r="AJ372" s="32" t="str">
        <f t="shared" si="325"/>
        <v>1+3,41606343445864i</v>
      </c>
      <c r="AK372" s="32">
        <f t="shared" si="345"/>
        <v>3.5594226200671</v>
      </c>
      <c r="AL372" s="32">
        <f t="shared" si="346"/>
        <v>1.28601828303018</v>
      </c>
      <c r="AM372" s="32" t="str">
        <f t="shared" si="326"/>
        <v>1-0,345696841185558i</v>
      </c>
      <c r="AN372" s="32">
        <f t="shared" si="347"/>
        <v>1.0580672502283</v>
      </c>
      <c r="AO372" s="32">
        <f t="shared" si="348"/>
        <v>-0.332836138641449</v>
      </c>
      <c r="AP372" s="30" t="str">
        <f t="shared" si="349"/>
        <v>3,36473551675156-2,36795473311472i</v>
      </c>
      <c r="AQ372" s="32">
        <f t="shared" si="350"/>
        <v>12.2862244702024</v>
      </c>
      <c r="AR372" s="31">
        <f t="shared" si="351"/>
        <v>-35.1362189128599</v>
      </c>
      <c r="AS372" t="str">
        <f t="shared" si="327"/>
        <v>-0,000100699300699301</v>
      </c>
      <c r="AT372" t="str">
        <f t="shared" si="328"/>
        <v>0,0489534090384475i</v>
      </c>
      <c r="AU372">
        <f t="shared" si="352"/>
        <v>0.0489534090384475</v>
      </c>
      <c r="AV372">
        <f t="shared" si="353"/>
        <v>1.5707963267949</v>
      </c>
      <c r="AW372" t="str">
        <f t="shared" si="329"/>
        <v>1+2,50632475332064i</v>
      </c>
      <c r="AX372">
        <f t="shared" si="354"/>
        <v>2.69845581196131</v>
      </c>
      <c r="AY372">
        <f t="shared" si="355"/>
        <v>1.19116043075536</v>
      </c>
      <c r="AZ372" t="str">
        <f t="shared" si="330"/>
        <v>1+119,823653632159i</v>
      </c>
      <c r="BA372">
        <f t="shared" si="356"/>
        <v>119.82782635832</v>
      </c>
      <c r="BB372">
        <f t="shared" si="357"/>
        <v>1.56245092290906</v>
      </c>
      <c r="BC372" s="30" t="str">
        <f t="shared" si="358"/>
        <v>-0,0331417211272483+0,0851209597093276i</v>
      </c>
      <c r="BD372" s="32">
        <f t="shared" si="359"/>
        <v>-20.7862823097558</v>
      </c>
      <c r="BE372" s="31">
        <f t="shared" si="360"/>
        <v>111.273378173742</v>
      </c>
      <c r="BF372" s="30" t="str">
        <f t="shared" si="361"/>
        <v>0,123080845090915+0,0100993393242305i</v>
      </c>
      <c r="BG372" s="68">
        <f t="shared" si="362"/>
        <v>-18.1670478050352</v>
      </c>
      <c r="BH372" s="31">
        <f t="shared" si="363"/>
        <v>4.69086857820034</v>
      </c>
      <c r="BI372" s="30" t="str">
        <f t="shared" si="369"/>
        <v>0,0900494532678418+0,364887611760789i</v>
      </c>
      <c r="BJ372" s="68">
        <f t="shared" si="364"/>
        <v>-8.50005783955343</v>
      </c>
      <c r="BK372" s="31">
        <f t="shared" si="370"/>
        <v>76.1371592608824</v>
      </c>
      <c r="BL372" s="32">
        <f t="shared" si="365"/>
        <v>-18.1670478050352</v>
      </c>
      <c r="BM372" s="31">
        <f t="shared" si="366"/>
        <v>4.69086857820034</v>
      </c>
      <c r="BO372">
        <f t="shared" si="367"/>
        <v>0</v>
      </c>
      <c r="BP372">
        <f t="shared" si="368"/>
        <v>0</v>
      </c>
    </row>
    <row r="373" spans="14:68">
      <c r="N373" s="7">
        <v>55</v>
      </c>
      <c r="O373" s="18">
        <f t="shared" si="318"/>
        <v>35481.3389233576</v>
      </c>
      <c r="P373" s="86" t="str">
        <f t="shared" si="319"/>
        <v>75</v>
      </c>
      <c r="Q373" s="4" t="str">
        <f t="shared" si="320"/>
        <v>1+364,128518090423i</v>
      </c>
      <c r="R373" s="4">
        <f t="shared" si="331"/>
        <v>364.12989122939</v>
      </c>
      <c r="S373" s="4">
        <f t="shared" si="332"/>
        <v>1.56805005058662</v>
      </c>
      <c r="T373" s="4" t="str">
        <f t="shared" si="321"/>
        <v>1+3,49563377366807i</v>
      </c>
      <c r="U373" s="4">
        <f t="shared" si="333"/>
        <v>3.63585691132213</v>
      </c>
      <c r="V373" s="4">
        <f t="shared" si="334"/>
        <v>1.29216676079026</v>
      </c>
      <c r="W373" t="str">
        <f t="shared" si="322"/>
        <v>1-1,83364718038392i</v>
      </c>
      <c r="X373" s="4">
        <f t="shared" si="335"/>
        <v>2.08860287803352</v>
      </c>
      <c r="Y373" s="4">
        <f t="shared" si="336"/>
        <v>-1.07152156054995</v>
      </c>
      <c r="Z373" t="str">
        <f t="shared" si="323"/>
        <v>0,989723057862905+0,575401920236099i</v>
      </c>
      <c r="AA373" s="4">
        <f t="shared" si="337"/>
        <v>1.14483147278405</v>
      </c>
      <c r="AB373" s="4">
        <f t="shared" si="338"/>
        <v>0.526613329869809</v>
      </c>
      <c r="AC373" s="67" t="str">
        <f t="shared" si="339"/>
        <v>-0,407953738152085-1,30390841527852i</v>
      </c>
      <c r="AD373" s="68">
        <f t="shared" si="340"/>
        <v>2.71052054395805</v>
      </c>
      <c r="AE373" s="31">
        <f t="shared" si="341"/>
        <v>-107.37333245717</v>
      </c>
      <c r="AF373" s="32" t="str">
        <f t="shared" si="342"/>
        <v>249,914648392112</v>
      </c>
      <c r="AG373" s="32" t="str">
        <f t="shared" si="324"/>
        <v>1+234,082618772415i</v>
      </c>
      <c r="AH373" s="32">
        <f t="shared" si="343"/>
        <v>234.084754760646</v>
      </c>
      <c r="AI373" s="32">
        <f t="shared" si="344"/>
        <v>1.56652435682979</v>
      </c>
      <c r="AJ373" s="32" t="str">
        <f t="shared" si="325"/>
        <v>1+3,49563377366807i</v>
      </c>
      <c r="AK373" s="32">
        <f t="shared" si="345"/>
        <v>3.63585691132213</v>
      </c>
      <c r="AL373" s="32">
        <f t="shared" si="346"/>
        <v>1.29216676079026</v>
      </c>
      <c r="AM373" s="32" t="str">
        <f t="shared" si="326"/>
        <v>1-0,353749155038776i</v>
      </c>
      <c r="AN373" s="32">
        <f t="shared" si="347"/>
        <v>1.06072544265264</v>
      </c>
      <c r="AO373" s="32">
        <f t="shared" si="348"/>
        <v>-0.340010911587709</v>
      </c>
      <c r="AP373" s="30" t="str">
        <f t="shared" si="349"/>
        <v>3,36452346461487-2,37347376496294i</v>
      </c>
      <c r="AQ373" s="32">
        <f t="shared" si="350"/>
        <v>12.2925670278705</v>
      </c>
      <c r="AR373" s="31">
        <f t="shared" si="351"/>
        <v>-35.2007225527916</v>
      </c>
      <c r="AS373" t="str">
        <f t="shared" si="327"/>
        <v>-0,000100699300699301</v>
      </c>
      <c r="AT373" t="str">
        <f t="shared" si="328"/>
        <v>0,0500936804172967i</v>
      </c>
      <c r="AU373">
        <f t="shared" si="352"/>
        <v>0.0500936804172967</v>
      </c>
      <c r="AV373">
        <f t="shared" si="353"/>
        <v>1.5707963267949</v>
      </c>
      <c r="AW373" t="str">
        <f t="shared" si="329"/>
        <v>1+2,56470455645281i</v>
      </c>
      <c r="AX373">
        <f t="shared" si="354"/>
        <v>2.75276396770406</v>
      </c>
      <c r="AY373">
        <f t="shared" si="355"/>
        <v>1.19901971165754</v>
      </c>
      <c r="AZ373" t="str">
        <f t="shared" si="330"/>
        <v>1+122,614705071265i</v>
      </c>
      <c r="BA373">
        <f t="shared" si="356"/>
        <v>122.618782817778</v>
      </c>
      <c r="BB373">
        <f t="shared" si="357"/>
        <v>1.56264087897257</v>
      </c>
      <c r="BC373" s="30" t="str">
        <f t="shared" si="358"/>
        <v>-0,0318469415054575+0,0836882156378063i</v>
      </c>
      <c r="BD373" s="32">
        <f t="shared" si="359"/>
        <v>-20.9593692067338</v>
      </c>
      <c r="BE373" s="31">
        <f t="shared" si="360"/>
        <v>110.833958228772</v>
      </c>
      <c r="BF373" s="30" t="str">
        <f t="shared" si="361"/>
        <v>0,122113847465641+0,00738457462112795i</v>
      </c>
      <c r="BG373" s="68">
        <f t="shared" si="362"/>
        <v>-18.2488486627758</v>
      </c>
      <c r="BH373" s="31">
        <f t="shared" si="363"/>
        <v>3.46062577160124</v>
      </c>
      <c r="BI373" s="30" t="str">
        <f t="shared" si="369"/>
        <v>0,0914820022815656+0,357158845382661i</v>
      </c>
      <c r="BJ373" s="68">
        <f t="shared" si="364"/>
        <v>-8.66680217886332</v>
      </c>
      <c r="BK373" s="31">
        <f t="shared" si="370"/>
        <v>75.6332356759801</v>
      </c>
      <c r="BL373" s="32">
        <f t="shared" si="365"/>
        <v>-18.2488486627758</v>
      </c>
      <c r="BM373" s="31">
        <f t="shared" si="366"/>
        <v>3.46062577160124</v>
      </c>
      <c r="BO373">
        <f t="shared" si="367"/>
        <v>0</v>
      </c>
      <c r="BP373">
        <f t="shared" si="368"/>
        <v>0</v>
      </c>
    </row>
    <row r="374" spans="14:68">
      <c r="N374" s="7">
        <v>56</v>
      </c>
      <c r="O374" s="18">
        <f t="shared" si="318"/>
        <v>36307.8054770102</v>
      </c>
      <c r="P374" s="86" t="str">
        <f t="shared" si="319"/>
        <v>75</v>
      </c>
      <c r="Q374" s="4" t="str">
        <f t="shared" si="320"/>
        <v>1+372,610160851505i</v>
      </c>
      <c r="R374" s="4">
        <f t="shared" si="331"/>
        <v>372.611502734127</v>
      </c>
      <c r="S374" s="4">
        <f t="shared" si="332"/>
        <v>1.56811256316148</v>
      </c>
      <c r="T374" s="4" t="str">
        <f t="shared" si="321"/>
        <v>1+3,57705754417445i</v>
      </c>
      <c r="U374" s="4">
        <f t="shared" si="333"/>
        <v>3.71420794710465</v>
      </c>
      <c r="V374" s="4">
        <f t="shared" si="334"/>
        <v>1.29819625444887</v>
      </c>
      <c r="W374" t="str">
        <f t="shared" si="322"/>
        <v>1-1,87635831000222i</v>
      </c>
      <c r="X374" s="4">
        <f t="shared" si="335"/>
        <v>2.12619860490839</v>
      </c>
      <c r="Y374" s="4">
        <f t="shared" si="336"/>
        <v>-1.08113963318907</v>
      </c>
      <c r="Z374" t="str">
        <f t="shared" si="323"/>
        <v>0,98923872050158+0,588804752722489i</v>
      </c>
      <c r="AA374" s="4">
        <f t="shared" si="337"/>
        <v>1.15120992132981</v>
      </c>
      <c r="AB374" s="4">
        <f t="shared" si="338"/>
        <v>0.536889977914883</v>
      </c>
      <c r="AC374" s="67" t="str">
        <f t="shared" si="339"/>
        <v>-0,430605541133411-1,31190605183599i</v>
      </c>
      <c r="AD374" s="68">
        <f t="shared" si="340"/>
        <v>2.80241051368964</v>
      </c>
      <c r="AE374" s="31">
        <f t="shared" si="341"/>
        <v>-108.171333154433</v>
      </c>
      <c r="AF374" s="32" t="str">
        <f t="shared" si="342"/>
        <v>249,914648392112</v>
      </c>
      <c r="AG374" s="32" t="str">
        <f t="shared" si="324"/>
        <v>1+239,535103404539i</v>
      </c>
      <c r="AH374" s="32">
        <f t="shared" si="343"/>
        <v>239.53719077217</v>
      </c>
      <c r="AI374" s="32">
        <f t="shared" si="344"/>
        <v>1.56662159759519</v>
      </c>
      <c r="AJ374" s="32" t="str">
        <f t="shared" si="325"/>
        <v>1+3,57705754417445i</v>
      </c>
      <c r="AK374" s="32">
        <f t="shared" si="345"/>
        <v>3.71420794710465</v>
      </c>
      <c r="AL374" s="32">
        <f t="shared" si="346"/>
        <v>1.29819625444887</v>
      </c>
      <c r="AM374" s="32" t="str">
        <f t="shared" si="326"/>
        <v>1-0,361989031376417i</v>
      </c>
      <c r="AN374" s="32">
        <f t="shared" si="347"/>
        <v>1.06350179070693</v>
      </c>
      <c r="AO374" s="32">
        <f t="shared" si="348"/>
        <v>-0.347315291346742</v>
      </c>
      <c r="AP374" s="30" t="str">
        <f t="shared" si="349"/>
        <v>3,36432095605598-2,38025116245463i</v>
      </c>
      <c r="AQ374" s="32">
        <f t="shared" si="350"/>
        <v>12.3004640172696</v>
      </c>
      <c r="AR374" s="31">
        <f t="shared" si="351"/>
        <v>-35.2793396311599</v>
      </c>
      <c r="AS374" t="str">
        <f t="shared" si="327"/>
        <v>-0,000100699300699301</v>
      </c>
      <c r="AT374" t="str">
        <f t="shared" si="328"/>
        <v>0,0512605121285714i</v>
      </c>
      <c r="AU374">
        <f t="shared" si="352"/>
        <v>0.0512605121285714</v>
      </c>
      <c r="AV374">
        <f t="shared" si="353"/>
        <v>1.5707963267949</v>
      </c>
      <c r="AW374" t="str">
        <f t="shared" si="329"/>
        <v>1+2,62444419988867i</v>
      </c>
      <c r="AX374">
        <f t="shared" si="354"/>
        <v>2.80850625036322</v>
      </c>
      <c r="AY374">
        <f t="shared" si="355"/>
        <v>1.20674691922507</v>
      </c>
      <c r="AZ374" t="str">
        <f t="shared" si="330"/>
        <v>1+125,470768449997i</v>
      </c>
      <c r="BA374">
        <f t="shared" si="356"/>
        <v>125.474753378649</v>
      </c>
      <c r="BB374">
        <f t="shared" si="357"/>
        <v>1.5628265116769</v>
      </c>
      <c r="BC374" s="30" t="str">
        <f t="shared" si="358"/>
        <v>-0,0305953123024171+0,0822601513798182i</v>
      </c>
      <c r="BD374" s="32">
        <f t="shared" si="359"/>
        <v>-21.1335106028214</v>
      </c>
      <c r="BE374" s="31">
        <f t="shared" si="360"/>
        <v>110.401857818228</v>
      </c>
      <c r="BF374" s="30" t="str">
        <f t="shared" si="361"/>
        <v>0,121092101430256+0,00471649836873019i</v>
      </c>
      <c r="BG374" s="68">
        <f t="shared" si="362"/>
        <v>-18.3311000891318</v>
      </c>
      <c r="BH374" s="31">
        <f t="shared" si="363"/>
        <v>2.23052466379527</v>
      </c>
      <c r="BI374" s="30" t="str">
        <f t="shared" si="369"/>
        <v>0,0928673706094069+0,34957407880895i</v>
      </c>
      <c r="BJ374" s="68">
        <f t="shared" si="364"/>
        <v>-8.83304658555187</v>
      </c>
      <c r="BK374" s="31">
        <f t="shared" si="370"/>
        <v>75.1225181870686</v>
      </c>
      <c r="BL374" s="32">
        <f t="shared" si="365"/>
        <v>-18.3311000891318</v>
      </c>
      <c r="BM374" s="31">
        <f t="shared" si="366"/>
        <v>2.23052466379527</v>
      </c>
      <c r="BO374">
        <f t="shared" si="367"/>
        <v>0</v>
      </c>
      <c r="BP374">
        <f t="shared" si="368"/>
        <v>0</v>
      </c>
    </row>
    <row r="375" spans="14:68">
      <c r="N375" s="7">
        <v>57</v>
      </c>
      <c r="O375" s="18">
        <f t="shared" si="318"/>
        <v>37153.5229097174</v>
      </c>
      <c r="P375" s="86" t="str">
        <f t="shared" si="319"/>
        <v>75</v>
      </c>
      <c r="Q375" s="4" t="str">
        <f t="shared" si="320"/>
        <v>1+381,289366451952i</v>
      </c>
      <c r="R375" s="4">
        <f t="shared" si="331"/>
        <v>381.290677789703</v>
      </c>
      <c r="S375" s="4">
        <f t="shared" si="332"/>
        <v>1.56817365279667</v>
      </c>
      <c r="T375" s="4" t="str">
        <f t="shared" si="321"/>
        <v>1+3,66037791793874i</v>
      </c>
      <c r="U375" s="4">
        <f t="shared" si="333"/>
        <v>3.79451795385574</v>
      </c>
      <c r="V375" s="4">
        <f t="shared" si="334"/>
        <v>1.30410820662691</v>
      </c>
      <c r="W375" t="str">
        <f t="shared" si="322"/>
        <v>1-1,92006430963304i</v>
      </c>
      <c r="X375" s="4">
        <f t="shared" si="335"/>
        <v>2.16486649776068</v>
      </c>
      <c r="Y375" s="4">
        <f t="shared" si="336"/>
        <v>-1.09063501943844</v>
      </c>
      <c r="Z375" t="str">
        <f t="shared" si="323"/>
        <v>0,98873155702365+0,602519777282528i</v>
      </c>
      <c r="AA375" s="4">
        <f t="shared" si="337"/>
        <v>1.1578515336048</v>
      </c>
      <c r="AB375" s="4">
        <f t="shared" si="338"/>
        <v>0.547292851220205</v>
      </c>
      <c r="AC375" s="67" t="str">
        <f t="shared" si="339"/>
        <v>-0,453792535174563-1,31969052863803i</v>
      </c>
      <c r="AD375" s="68">
        <f t="shared" si="340"/>
        <v>2.89479865016553</v>
      </c>
      <c r="AE375" s="31">
        <f t="shared" si="341"/>
        <v>-108.976189716357</v>
      </c>
      <c r="AF375" s="32" t="str">
        <f t="shared" si="342"/>
        <v>249,914648392112</v>
      </c>
      <c r="AG375" s="32" t="str">
        <f t="shared" si="324"/>
        <v>1+245,114592719112i</v>
      </c>
      <c r="AH375" s="32">
        <f t="shared" si="343"/>
        <v>245.116632572855</v>
      </c>
      <c r="AI375" s="32">
        <f t="shared" si="344"/>
        <v>1.56671662496682</v>
      </c>
      <c r="AJ375" s="32" t="str">
        <f t="shared" si="325"/>
        <v>1+3,66037791793874i</v>
      </c>
      <c r="AK375" s="32">
        <f t="shared" si="345"/>
        <v>3.79451795385574</v>
      </c>
      <c r="AL375" s="32">
        <f t="shared" si="346"/>
        <v>1.30410820662691</v>
      </c>
      <c r="AM375" s="32" t="str">
        <f t="shared" si="326"/>
        <v>1-0,370420839089987i</v>
      </c>
      <c r="AN375" s="32">
        <f t="shared" si="347"/>
        <v>1.06640123688607</v>
      </c>
      <c r="AO375" s="32">
        <f t="shared" si="348"/>
        <v>-0.354750032097585</v>
      </c>
      <c r="AP375" s="30" t="str">
        <f t="shared" si="349"/>
        <v>3,36412756157308-2,38829052449945i</v>
      </c>
      <c r="AQ375" s="32">
        <f t="shared" si="350"/>
        <v>12.309923659408</v>
      </c>
      <c r="AR375" s="31">
        <f t="shared" si="351"/>
        <v>-35.3720336568051</v>
      </c>
      <c r="AS375" t="str">
        <f t="shared" si="327"/>
        <v>-0,000100699300699301</v>
      </c>
      <c r="AT375" t="str">
        <f t="shared" si="328"/>
        <v>0,0524545228418898i</v>
      </c>
      <c r="AU375">
        <f t="shared" si="352"/>
        <v>0.0524545228418898</v>
      </c>
      <c r="AV375">
        <f t="shared" si="353"/>
        <v>1.5707963267949</v>
      </c>
      <c r="AW375" t="str">
        <f t="shared" si="329"/>
        <v>1+2,68557535837796i</v>
      </c>
      <c r="AX375">
        <f t="shared" si="354"/>
        <v>2.8657136991554</v>
      </c>
      <c r="AY375">
        <f t="shared" si="355"/>
        <v>1.21434245839153</v>
      </c>
      <c r="AZ375" t="str">
        <f t="shared" si="330"/>
        <v>1+128,393358090963i</v>
      </c>
      <c r="BA375">
        <f t="shared" si="356"/>
        <v>128.397252314348</v>
      </c>
      <c r="BB375">
        <f t="shared" si="357"/>
        <v>1.56300791939577</v>
      </c>
      <c r="BC375" s="30" t="str">
        <f t="shared" si="358"/>
        <v>-0,029385973360221+0,0808379907998732i</v>
      </c>
      <c r="BD375" s="32">
        <f t="shared" si="359"/>
        <v>-21.3086711188433</v>
      </c>
      <c r="BE375" s="31">
        <f t="shared" si="360"/>
        <v>109.977059377526</v>
      </c>
      <c r="BF375" s="30" t="str">
        <f t="shared" si="361"/>
        <v>0,120016266162428+0,00209671393480067i</v>
      </c>
      <c r="BG375" s="68">
        <f t="shared" si="362"/>
        <v>-18.4138724686777</v>
      </c>
      <c r="BH375" s="31">
        <f t="shared" si="363"/>
        <v>1.00086966116886</v>
      </c>
      <c r="BI375" s="30" t="str">
        <f t="shared" si="369"/>
        <v>0,0942064445421391+0,342131554601454i</v>
      </c>
      <c r="BJ375" s="68">
        <f t="shared" si="364"/>
        <v>-8.99874745943527</v>
      </c>
      <c r="BK375" s="31">
        <f t="shared" si="370"/>
        <v>74.6050257207209</v>
      </c>
      <c r="BL375" s="32">
        <f t="shared" si="365"/>
        <v>-18.4138724686777</v>
      </c>
      <c r="BM375" s="31">
        <f t="shared" si="366"/>
        <v>1.00086966116886</v>
      </c>
      <c r="BO375">
        <f t="shared" si="367"/>
        <v>0</v>
      </c>
      <c r="BP375">
        <f t="shared" si="368"/>
        <v>0</v>
      </c>
    </row>
    <row r="376" spans="14:68">
      <c r="N376" s="7">
        <v>58</v>
      </c>
      <c r="O376" s="18">
        <f t="shared" si="318"/>
        <v>38018.9396320561</v>
      </c>
      <c r="P376" s="86" t="str">
        <f t="shared" si="319"/>
        <v>75</v>
      </c>
      <c r="Q376" s="4" t="str">
        <f t="shared" si="320"/>
        <v>1+390,170736721449i</v>
      </c>
      <c r="R376" s="4">
        <f t="shared" si="331"/>
        <v>390.172018209607</v>
      </c>
      <c r="S376" s="4">
        <f t="shared" si="332"/>
        <v>1.56823335188092</v>
      </c>
      <c r="T376" s="4" t="str">
        <f t="shared" si="321"/>
        <v>1+3,74563907252591i</v>
      </c>
      <c r="U376" s="4">
        <f t="shared" si="333"/>
        <v>3.87683015640778</v>
      </c>
      <c r="V376" s="4">
        <f t="shared" si="334"/>
        <v>1.30990409822152</v>
      </c>
      <c r="W376" t="str">
        <f t="shared" si="322"/>
        <v>1-1,96478835277587i</v>
      </c>
      <c r="X376" s="4">
        <f t="shared" si="335"/>
        <v>2.20462996242084</v>
      </c>
      <c r="Y376" s="4">
        <f t="shared" si="336"/>
        <v>-1.10000590402021</v>
      </c>
      <c r="Z376" t="str">
        <f t="shared" si="323"/>
        <v>0,98820049166738+0,616554265803769i</v>
      </c>
      <c r="AA376" s="4">
        <f t="shared" si="337"/>
        <v>1.16476580238796</v>
      </c>
      <c r="AB376" s="4">
        <f t="shared" si="338"/>
        <v>0.557819552187903</v>
      </c>
      <c r="AC376" s="67" t="str">
        <f t="shared" si="339"/>
        <v>-0,47750860693101-1,32723398064625i</v>
      </c>
      <c r="AD376" s="68">
        <f t="shared" si="340"/>
        <v>2.98758025151788</v>
      </c>
      <c r="AE376" s="31">
        <f t="shared" si="341"/>
        <v>-109.787577769523</v>
      </c>
      <c r="AF376" s="32" t="str">
        <f t="shared" si="342"/>
        <v>249,914648392112</v>
      </c>
      <c r="AG376" s="32" t="str">
        <f t="shared" si="324"/>
        <v>1+250,824045035217i</v>
      </c>
      <c r="AH376" s="32">
        <f t="shared" si="343"/>
        <v>250.826038456594</v>
      </c>
      <c r="AI376" s="32">
        <f t="shared" si="344"/>
        <v>1.56680948932258</v>
      </c>
      <c r="AJ376" s="32" t="str">
        <f t="shared" si="325"/>
        <v>1+3,74563907252591i</v>
      </c>
      <c r="AK376" s="32">
        <f t="shared" si="345"/>
        <v>3.87683015640778</v>
      </c>
      <c r="AL376" s="32">
        <f t="shared" si="346"/>
        <v>1.30990409822152</v>
      </c>
      <c r="AM376" s="32" t="str">
        <f t="shared" si="326"/>
        <v>1-0,379049048835539i</v>
      </c>
      <c r="AN376" s="32">
        <f t="shared" si="347"/>
        <v>1.06942890433312</v>
      </c>
      <c r="AO376" s="32">
        <f t="shared" si="348"/>
        <v>-0.362315787194254</v>
      </c>
      <c r="AP376" s="30" t="str">
        <f t="shared" si="349"/>
        <v>3,36394287099252-2,39759611875407i</v>
      </c>
      <c r="AQ376" s="32">
        <f t="shared" si="350"/>
        <v>12.320955728772</v>
      </c>
      <c r="AR376" s="31">
        <f t="shared" si="351"/>
        <v>-35.4787601014395</v>
      </c>
      <c r="AS376" t="str">
        <f t="shared" si="327"/>
        <v>-0,000100699300699301</v>
      </c>
      <c r="AT376" t="str">
        <f t="shared" si="328"/>
        <v>0,0536763456375364i</v>
      </c>
      <c r="AU376">
        <f t="shared" si="352"/>
        <v>0.0536763456375364</v>
      </c>
      <c r="AV376">
        <f t="shared" si="353"/>
        <v>1.5707963267949</v>
      </c>
      <c r="AW376" t="str">
        <f t="shared" si="329"/>
        <v>1+2,74813044447003i</v>
      </c>
      <c r="AX376">
        <f t="shared" si="354"/>
        <v>2.92441805148016</v>
      </c>
      <c r="AY376">
        <f t="shared" si="355"/>
        <v>1.22180684978234</v>
      </c>
      <c r="AZ376" t="str">
        <f t="shared" si="330"/>
        <v>1+131,384023589876i</v>
      </c>
      <c r="BA376">
        <f t="shared" si="356"/>
        <v>131.387829172512</v>
      </c>
      <c r="BB376">
        <f t="shared" si="357"/>
        <v>1.56318519826615</v>
      </c>
      <c r="BC376" s="30" t="str">
        <f t="shared" si="358"/>
        <v>-0,028218035019936+0,0794228872550119i</v>
      </c>
      <c r="BD376" s="32">
        <f t="shared" si="359"/>
        <v>-21.4848160997896</v>
      </c>
      <c r="BE376" s="31">
        <f t="shared" si="360"/>
        <v>109.559538585268</v>
      </c>
      <c r="BF376" s="30" t="str">
        <f t="shared" si="361"/>
        <v>0,118887109398588-0,000473177306054458i</v>
      </c>
      <c r="BG376" s="68">
        <f t="shared" si="362"/>
        <v>-18.4972358482717</v>
      </c>
      <c r="BH376" s="31">
        <f t="shared" si="363"/>
        <v>-0.228039184254469</v>
      </c>
      <c r="BI376" s="30" t="str">
        <f t="shared" si="369"/>
        <v>0,0955001484841276+0,334829506617805i</v>
      </c>
      <c r="BJ376" s="68">
        <f t="shared" si="364"/>
        <v>-9.16386037101761</v>
      </c>
      <c r="BK376" s="31">
        <f t="shared" si="370"/>
        <v>74.080778483829</v>
      </c>
      <c r="BL376" s="32">
        <f t="shared" si="365"/>
        <v>-18.4972358482717</v>
      </c>
      <c r="BM376" s="31">
        <f t="shared" si="366"/>
        <v>-0.228039184254469</v>
      </c>
      <c r="BO376">
        <f t="shared" si="367"/>
        <v>0</v>
      </c>
      <c r="BP376">
        <f t="shared" si="368"/>
        <v>0</v>
      </c>
    </row>
    <row r="377" spans="14:68">
      <c r="N377" s="7">
        <v>59</v>
      </c>
      <c r="O377" s="18">
        <f t="shared" si="318"/>
        <v>38904.5144994281</v>
      </c>
      <c r="P377" s="86" t="str">
        <f t="shared" si="319"/>
        <v>75</v>
      </c>
      <c r="Q377" s="4" t="str">
        <f t="shared" si="320"/>
        <v>1+399,258980680078i</v>
      </c>
      <c r="R377" s="4">
        <f t="shared" si="331"/>
        <v>399.260232998097</v>
      </c>
      <c r="S377" s="4">
        <f t="shared" si="332"/>
        <v>1.56829169206575</v>
      </c>
      <c r="T377" s="4" t="str">
        <f t="shared" si="321"/>
        <v>1+3,83288621452875i</v>
      </c>
      <c r="U377" s="4">
        <f t="shared" si="333"/>
        <v>3.96118880306462</v>
      </c>
      <c r="V377" s="4">
        <f t="shared" si="334"/>
        <v>1.31558544407675</v>
      </c>
      <c r="W377" t="str">
        <f t="shared" si="322"/>
        <v>1-2,01055415271039i</v>
      </c>
      <c r="X377" s="4">
        <f t="shared" si="335"/>
        <v>2.24551285923305</v>
      </c>
      <c r="Y377" s="4">
        <f t="shared" si="336"/>
        <v>-1.10925067149135</v>
      </c>
      <c r="Z377" t="str">
        <f t="shared" si="323"/>
        <v>0,987644397971949+0,630915659557802i</v>
      </c>
      <c r="AA377" s="4">
        <f t="shared" si="337"/>
        <v>1.17196246796586</v>
      </c>
      <c r="AB377" s="4">
        <f t="shared" si="338"/>
        <v>0.568467475176456</v>
      </c>
      <c r="AC377" s="67" t="str">
        <f t="shared" si="339"/>
        <v>-0,501746201190143-1,33450846142839i</v>
      </c>
      <c r="AD377" s="68">
        <f t="shared" si="340"/>
        <v>3.08065186194473</v>
      </c>
      <c r="AE377" s="31">
        <f t="shared" si="341"/>
        <v>-110.605170482932</v>
      </c>
      <c r="AF377" s="32" t="str">
        <f t="shared" si="342"/>
        <v>249,914648392112</v>
      </c>
      <c r="AG377" s="32" t="str">
        <f t="shared" si="324"/>
        <v>1+256,66648758005i</v>
      </c>
      <c r="AH377" s="32">
        <f t="shared" si="343"/>
        <v>256.668435625965</v>
      </c>
      <c r="AI377" s="32">
        <f t="shared" si="344"/>
        <v>1.56690023989398</v>
      </c>
      <c r="AJ377" s="32" t="str">
        <f t="shared" si="325"/>
        <v>1+3,83288621452875i</v>
      </c>
      <c r="AK377" s="32">
        <f t="shared" si="345"/>
        <v>3.96118880306462</v>
      </c>
      <c r="AL377" s="32">
        <f t="shared" si="346"/>
        <v>1.31558544407675</v>
      </c>
      <c r="AM377" s="32" t="str">
        <f t="shared" si="326"/>
        <v>1-0,387878235404092i</v>
      </c>
      <c r="AN377" s="32">
        <f t="shared" si="347"/>
        <v>1.07259010134356</v>
      </c>
      <c r="AO377" s="32">
        <f t="shared" si="348"/>
        <v>-0.370013102552103</v>
      </c>
      <c r="AP377" s="30" t="str">
        <f t="shared" si="349"/>
        <v>3,36376649259907-2,40817288390914i</v>
      </c>
      <c r="AQ377" s="32">
        <f t="shared" si="350"/>
        <v>12.3335715247208</v>
      </c>
      <c r="AR377" s="31">
        <f t="shared" si="351"/>
        <v>-35.5994662702965</v>
      </c>
      <c r="AS377" t="str">
        <f t="shared" si="327"/>
        <v>-0,000100699300699301</v>
      </c>
      <c r="AT377" t="str">
        <f t="shared" si="328"/>
        <v>0,0549266283421307i</v>
      </c>
      <c r="AU377">
        <f t="shared" si="352"/>
        <v>0.0549266283421307</v>
      </c>
      <c r="AV377">
        <f t="shared" si="353"/>
        <v>1.5707963267949</v>
      </c>
      <c r="AW377" t="str">
        <f t="shared" si="329"/>
        <v>1+2,81214262569958i</v>
      </c>
      <c r="AX377">
        <f t="shared" si="354"/>
        <v>2.98465176315036</v>
      </c>
      <c r="AY377">
        <f t="shared" si="355"/>
        <v>1.22914072297639</v>
      </c>
      <c r="AZ377" t="str">
        <f t="shared" si="330"/>
        <v>1+134,444350637169i</v>
      </c>
      <c r="BA377">
        <f t="shared" si="356"/>
        <v>134.448069596592</v>
      </c>
      <c r="BB377">
        <f t="shared" si="357"/>
        <v>1.56335844223906</v>
      </c>
      <c r="BC377" s="30" t="str">
        <f t="shared" si="358"/>
        <v>-0,0270905827080461+0,0780159244983246i</v>
      </c>
      <c r="BD377" s="32">
        <f t="shared" si="359"/>
        <v>-21.6619116374049</v>
      </c>
      <c r="BE377" s="31">
        <f t="shared" si="360"/>
        <v>109.149264752239</v>
      </c>
      <c r="BF377" s="30" t="str">
        <f t="shared" si="361"/>
        <v>0,117705508330962-0,00299158190045824i</v>
      </c>
      <c r="BG377" s="68">
        <f t="shared" si="362"/>
        <v>-18.5812597754602</v>
      </c>
      <c r="BH377" s="31">
        <f t="shared" si="363"/>
        <v>-1.45590573069257</v>
      </c>
      <c r="BI377" s="30" t="str">
        <f t="shared" si="369"/>
        <v>0,0967494395116588+0,327666159403418i</v>
      </c>
      <c r="BJ377" s="68">
        <f t="shared" si="364"/>
        <v>-9.32834011268408</v>
      </c>
      <c r="BK377" s="31">
        <f t="shared" si="370"/>
        <v>73.5497984819428</v>
      </c>
      <c r="BL377" s="32">
        <f t="shared" si="365"/>
        <v>-18.5812597754602</v>
      </c>
      <c r="BM377" s="31">
        <f t="shared" si="366"/>
        <v>-1.45590573069257</v>
      </c>
      <c r="BO377">
        <f t="shared" si="367"/>
        <v>0</v>
      </c>
      <c r="BP377">
        <f t="shared" si="368"/>
        <v>0</v>
      </c>
    </row>
    <row r="378" spans="14:68">
      <c r="N378" s="7">
        <v>60</v>
      </c>
      <c r="O378" s="18">
        <f t="shared" si="318"/>
        <v>39810.7170553497</v>
      </c>
      <c r="P378" s="86" t="str">
        <f t="shared" si="319"/>
        <v>75</v>
      </c>
      <c r="Q378" s="4" t="str">
        <f t="shared" si="320"/>
        <v>1+408,55891703508i</v>
      </c>
      <c r="R378" s="4">
        <f t="shared" si="331"/>
        <v>408.560140846947</v>
      </c>
      <c r="S378" s="4">
        <f t="shared" si="332"/>
        <v>1.56834870428232</v>
      </c>
      <c r="T378" s="4" t="str">
        <f t="shared" si="321"/>
        <v>1+3,92216560353677i</v>
      </c>
      <c r="U378" s="4">
        <f t="shared" si="333"/>
        <v>4.04763919112944</v>
      </c>
      <c r="V378" s="4">
        <f t="shared" si="334"/>
        <v>1.32115378886569</v>
      </c>
      <c r="W378" t="str">
        <f t="shared" si="322"/>
        <v>1-2,05738597506951i</v>
      </c>
      <c r="X378" s="4">
        <f t="shared" si="335"/>
        <v>2.28753951887453</v>
      </c>
      <c r="Y378" s="4">
        <f t="shared" si="336"/>
        <v>-1.1183679017348</v>
      </c>
      <c r="Z378" t="str">
        <f t="shared" si="323"/>
        <v>0,987062096388073+0,645611573145688i</v>
      </c>
      <c r="AA378" s="4">
        <f t="shared" si="337"/>
        <v>1.17945151892974</v>
      </c>
      <c r="AB378" s="4">
        <f t="shared" si="338"/>
        <v>0.579233805963881</v>
      </c>
      <c r="AC378" s="67" t="str">
        <f t="shared" si="339"/>
        <v>-0,526496284210306-1,34148603541148i</v>
      </c>
      <c r="AD378" s="68">
        <f t="shared" si="340"/>
        <v>3.17391145311295</v>
      </c>
      <c r="AE378" s="31">
        <f t="shared" si="341"/>
        <v>-111.428638515802</v>
      </c>
      <c r="AF378" s="32" t="str">
        <f t="shared" si="342"/>
        <v>249,914648392112</v>
      </c>
      <c r="AG378" s="32" t="str">
        <f t="shared" si="324"/>
        <v>1+262,64501809398i</v>
      </c>
      <c r="AH378" s="32">
        <f t="shared" si="343"/>
        <v>262.646921797281</v>
      </c>
      <c r="AI378" s="32">
        <f t="shared" si="344"/>
        <v>1.56698892479219</v>
      </c>
      <c r="AJ378" s="32" t="str">
        <f t="shared" si="325"/>
        <v>1+3,92216560353677i</v>
      </c>
      <c r="AK378" s="32">
        <f t="shared" si="345"/>
        <v>4.04763919112944</v>
      </c>
      <c r="AL378" s="32">
        <f t="shared" si="346"/>
        <v>1.32115378886569</v>
      </c>
      <c r="AM378" s="32" t="str">
        <f t="shared" si="326"/>
        <v>1-0,396913080147232i</v>
      </c>
      <c r="AN378" s="32">
        <f t="shared" si="347"/>
        <v>1.07589032581949</v>
      </c>
      <c r="AO378" s="32">
        <f t="shared" si="348"/>
        <v>-0.377842409929864</v>
      </c>
      <c r="AP378" s="30" t="str">
        <f t="shared" si="349"/>
        <v>3,36359805230542-2,42002643233049i</v>
      </c>
      <c r="AQ378" s="32">
        <f t="shared" si="350"/>
        <v>12.3477838380517</v>
      </c>
      <c r="AR378" s="31">
        <f t="shared" si="351"/>
        <v>-35.7340911546467</v>
      </c>
      <c r="AS378" t="str">
        <f t="shared" si="327"/>
        <v>-0,000100699300699301</v>
      </c>
      <c r="AT378" t="str">
        <f t="shared" si="328"/>
        <v>0,0562060338721117i</v>
      </c>
      <c r="AU378">
        <f t="shared" si="352"/>
        <v>0.0562060338721117</v>
      </c>
      <c r="AV378">
        <f t="shared" si="353"/>
        <v>1.5707963267949</v>
      </c>
      <c r="AW378" t="str">
        <f t="shared" si="329"/>
        <v>1+2,87764584217237i</v>
      </c>
      <c r="AX378">
        <f t="shared" si="354"/>
        <v>3.04644802893007</v>
      </c>
      <c r="AY378">
        <f t="shared" si="355"/>
        <v>1.23634480986678</v>
      </c>
      <c r="AZ378" t="str">
        <f t="shared" si="330"/>
        <v>1+137,575961858751i</v>
      </c>
      <c r="BA378">
        <f t="shared" si="356"/>
        <v>137.579596166585</v>
      </c>
      <c r="BB378">
        <f t="shared" si="357"/>
        <v>1.56352774312913</v>
      </c>
      <c r="BC378" s="30" t="str">
        <f t="shared" si="358"/>
        <v>-0,0260026812816392+0,0766181178240687i</v>
      </c>
      <c r="BD378" s="32">
        <f t="shared" si="359"/>
        <v>-21.8399245890714</v>
      </c>
      <c r="BE378" s="31">
        <f t="shared" si="360"/>
        <v>108.746201204643</v>
      </c>
      <c r="BF378" s="30" t="str">
        <f t="shared" si="361"/>
        <v>0,116472450194787-0,00545692051498511i</v>
      </c>
      <c r="BG378" s="68">
        <f t="shared" si="362"/>
        <v>-18.6660131359584</v>
      </c>
      <c r="BH378" s="31">
        <f t="shared" si="363"/>
        <v>-2.68243731115907</v>
      </c>
      <c r="BI378" s="30" t="str">
        <f t="shared" si="369"/>
        <v>0,0979553022160179+0,320639727897377i</v>
      </c>
      <c r="BJ378" s="68">
        <f t="shared" si="364"/>
        <v>-9.49214075101968</v>
      </c>
      <c r="BK378" s="31">
        <f t="shared" si="370"/>
        <v>73.0121100499966</v>
      </c>
      <c r="BL378" s="32">
        <f t="shared" si="365"/>
        <v>-18.6660131359584</v>
      </c>
      <c r="BM378" s="31">
        <f t="shared" si="366"/>
        <v>-2.68243731115907</v>
      </c>
      <c r="BO378">
        <f t="shared" si="367"/>
        <v>0</v>
      </c>
      <c r="BP378">
        <f t="shared" si="368"/>
        <v>0</v>
      </c>
    </row>
    <row r="379" spans="14:68">
      <c r="N379" s="7">
        <v>61</v>
      </c>
      <c r="O379" s="18">
        <f t="shared" si="318"/>
        <v>40738.0277804114</v>
      </c>
      <c r="P379" s="86" t="str">
        <f t="shared" si="319"/>
        <v>75</v>
      </c>
      <c r="Q379" s="4" t="str">
        <f t="shared" si="320"/>
        <v>1+418,075476735813i</v>
      </c>
      <c r="R379" s="4">
        <f t="shared" si="331"/>
        <v>418.076672690402</v>
      </c>
      <c r="S379" s="4">
        <f t="shared" si="332"/>
        <v>1.56840441875778</v>
      </c>
      <c r="T379" s="4" t="str">
        <f t="shared" si="321"/>
        <v>1+4,01352457666381i</v>
      </c>
      <c r="U379" s="4">
        <f t="shared" si="333"/>
        <v>4.13622769289656</v>
      </c>
      <c r="V379" s="4">
        <f t="shared" si="334"/>
        <v>1.32661070318178</v>
      </c>
      <c r="W379" t="str">
        <f t="shared" si="322"/>
        <v>1-2,10530865070534i</v>
      </c>
      <c r="X379" s="4">
        <f t="shared" si="335"/>
        <v>2.33073475855464</v>
      </c>
      <c r="Y379" s="4">
        <f t="shared" si="336"/>
        <v>-1.12735636498764</v>
      </c>
      <c r="Z379" t="str">
        <f t="shared" si="323"/>
        <v>0,98645235177602+0,660649798535339i</v>
      </c>
      <c r="AA379" s="4">
        <f t="shared" si="337"/>
        <v>1.18724319270705</v>
      </c>
      <c r="AB379" s="4">
        <f t="shared" si="338"/>
        <v>0.590115522038501</v>
      </c>
      <c r="AC379" s="67" t="str">
        <f t="shared" si="339"/>
        <v>-0,551748313839142-1,34813887532469i</v>
      </c>
      <c r="AD379" s="68">
        <f t="shared" si="340"/>
        <v>3.26725860227016</v>
      </c>
      <c r="AE379" s="31">
        <f t="shared" si="341"/>
        <v>-112.257649974259</v>
      </c>
      <c r="AF379" s="32" t="str">
        <f t="shared" si="342"/>
        <v>249,914648392112</v>
      </c>
      <c r="AG379" s="32" t="str">
        <f t="shared" si="324"/>
        <v>1+268,762806473023i</v>
      </c>
      <c r="AH379" s="32">
        <f t="shared" si="343"/>
        <v>268.76466684305</v>
      </c>
      <c r="AI379" s="32">
        <f t="shared" si="344"/>
        <v>1.56707559103352</v>
      </c>
      <c r="AJ379" s="32" t="str">
        <f t="shared" si="325"/>
        <v>1+4,01352457666381i</v>
      </c>
      <c r="AK379" s="32">
        <f t="shared" si="345"/>
        <v>4.13622769289656</v>
      </c>
      <c r="AL379" s="32">
        <f t="shared" si="346"/>
        <v>1.32661070318178</v>
      </c>
      <c r="AM379" s="32" t="str">
        <f t="shared" si="326"/>
        <v>1-0,406158373459233i</v>
      </c>
      <c r="AN379" s="32">
        <f t="shared" si="347"/>
        <v>1.07933526965955</v>
      </c>
      <c r="AO379" s="32">
        <f t="shared" si="348"/>
        <v>-0.385804020131185</v>
      </c>
      <c r="AP379" s="30" t="str">
        <f t="shared" si="349"/>
        <v>3,36343719285894-2,43316305305601i</v>
      </c>
      <c r="AQ379" s="32">
        <f t="shared" si="350"/>
        <v>12.3636069126772</v>
      </c>
      <c r="AR379" s="31">
        <f t="shared" si="351"/>
        <v>-35.8825652676886</v>
      </c>
      <c r="AS379" t="str">
        <f t="shared" si="327"/>
        <v>-0,000100699300699301</v>
      </c>
      <c r="AT379" t="str">
        <f t="shared" si="328"/>
        <v>0,0575152405852268i</v>
      </c>
      <c r="AU379">
        <f t="shared" si="352"/>
        <v>0.0575152405852268</v>
      </c>
      <c r="AV379">
        <f t="shared" si="353"/>
        <v>1.5707963267949</v>
      </c>
      <c r="AW379" t="str">
        <f t="shared" si="329"/>
        <v>1+2,94467482456085i</v>
      </c>
      <c r="AX379">
        <f t="shared" si="354"/>
        <v>3.10984080338568</v>
      </c>
      <c r="AY379">
        <f t="shared" si="355"/>
        <v>1.24341993814238</v>
      </c>
      <c r="AZ379" t="str">
        <f t="shared" si="330"/>
        <v>1+140,780517676345i</v>
      </c>
      <c r="BA379">
        <f t="shared" si="356"/>
        <v>140.784069259344</v>
      </c>
      <c r="BB379">
        <f t="shared" si="357"/>
        <v>1.56369319066308</v>
      </c>
      <c r="BC379" s="30" t="str">
        <f t="shared" si="358"/>
        <v>-0,0249533791270923+0,0752304154259508i</v>
      </c>
      <c r="BD379" s="32">
        <f t="shared" si="359"/>
        <v>-22.0188225931911</v>
      </c>
      <c r="BE379" s="31">
        <f t="shared" si="360"/>
        <v>108.350305660364</v>
      </c>
      <c r="BF379" s="30" t="str">
        <f t="shared" si="361"/>
        <v>0,115189032500513-0,00786763438873773i</v>
      </c>
      <c r="BG379" s="68">
        <f t="shared" si="362"/>
        <v>-18.7515639909209</v>
      </c>
      <c r="BH379" s="31">
        <f t="shared" si="363"/>
        <v>-3.90734431389526</v>
      </c>
      <c r="BI379" s="30" t="str">
        <f t="shared" si="369"/>
        <v>0,0991187438369062+0,313748417418812i</v>
      </c>
      <c r="BJ379" s="68">
        <f t="shared" si="364"/>
        <v>-9.65521568051391</v>
      </c>
      <c r="BK379" s="31">
        <f t="shared" si="370"/>
        <v>72.467740392675</v>
      </c>
      <c r="BL379" s="32">
        <f t="shared" si="365"/>
        <v>-18.7515639909209</v>
      </c>
      <c r="BM379" s="31">
        <f t="shared" si="366"/>
        <v>-3.90734431389526</v>
      </c>
      <c r="BO379">
        <f t="shared" si="367"/>
        <v>0</v>
      </c>
      <c r="BP379">
        <f t="shared" si="368"/>
        <v>0</v>
      </c>
    </row>
    <row r="380" spans="14:68">
      <c r="N380" s="7">
        <v>62</v>
      </c>
      <c r="O380" s="18">
        <f t="shared" si="318"/>
        <v>41686.9383470336</v>
      </c>
      <c r="P380" s="86" t="str">
        <f t="shared" si="319"/>
        <v>75</v>
      </c>
      <c r="Q380" s="4" t="str">
        <f t="shared" si="320"/>
        <v>1+427,813705588192i</v>
      </c>
      <c r="R380" s="4">
        <f t="shared" si="331"/>
        <v>427.814874319606</v>
      </c>
      <c r="S380" s="4">
        <f t="shared" si="332"/>
        <v>1.5684588650313</v>
      </c>
      <c r="T380" s="4" t="str">
        <f t="shared" si="321"/>
        <v>1+4,10701157364665i</v>
      </c>
      <c r="U380" s="4">
        <f t="shared" si="333"/>
        <v>4.22700178212259</v>
      </c>
      <c r="V380" s="4">
        <f t="shared" si="334"/>
        <v>1.33195777983591</v>
      </c>
      <c r="W380" t="str">
        <f t="shared" si="322"/>
        <v>1-2,15434758885483i</v>
      </c>
      <c r="X380" s="4">
        <f t="shared" si="335"/>
        <v>2.37512389857974</v>
      </c>
      <c r="Y380" s="4">
        <f t="shared" si="336"/>
        <v>-1.13621501646111</v>
      </c>
      <c r="Z380" t="str">
        <f t="shared" si="323"/>
        <v>0,985813870785719+0,676038309192903i</v>
      </c>
      <c r="AA380" s="4">
        <f t="shared" si="337"/>
        <v>1.19534797583378</v>
      </c>
      <c r="AB380" s="4">
        <f t="shared" si="338"/>
        <v>0.601109393759366</v>
      </c>
      <c r="AC380" s="67" t="str">
        <f t="shared" si="339"/>
        <v>-0,577490217079908-1,35443936431528i</v>
      </c>
      <c r="AD380" s="68">
        <f t="shared" si="340"/>
        <v>3.36059466654155</v>
      </c>
      <c r="AE380" s="31">
        <f t="shared" si="341"/>
        <v>-113.091870382648</v>
      </c>
      <c r="AF380" s="32" t="str">
        <f t="shared" si="342"/>
        <v>249,914648392112</v>
      </c>
      <c r="AG380" s="32" t="str">
        <f t="shared" si="324"/>
        <v>1+275,023096449552i</v>
      </c>
      <c r="AH380" s="32">
        <f t="shared" si="343"/>
        <v>275.02491447267</v>
      </c>
      <c r="AI380" s="32">
        <f t="shared" si="344"/>
        <v>1.56716028456437</v>
      </c>
      <c r="AJ380" s="32" t="str">
        <f t="shared" si="325"/>
        <v>1+4,10701157364665i</v>
      </c>
      <c r="AK380" s="32">
        <f t="shared" si="345"/>
        <v>4.22700178212259</v>
      </c>
      <c r="AL380" s="32">
        <f t="shared" si="346"/>
        <v>1.33195777983591</v>
      </c>
      <c r="AM380" s="32" t="str">
        <f t="shared" si="326"/>
        <v>1-0,415619017316982i</v>
      </c>
      <c r="AN380" s="32">
        <f t="shared" si="347"/>
        <v>1.08293082307022</v>
      </c>
      <c r="AO380" s="32">
        <f t="shared" si="348"/>
        <v>-0.393898116152259</v>
      </c>
      <c r="AP380" s="30" t="str">
        <f t="shared" si="349"/>
        <v>3,36328357308423-2,4475897151499i</v>
      </c>
      <c r="AQ380" s="32">
        <f t="shared" si="350"/>
        <v>12.3810564023586</v>
      </c>
      <c r="AR380" s="31">
        <f t="shared" si="351"/>
        <v>-36.0448104655247</v>
      </c>
      <c r="AS380" t="str">
        <f t="shared" si="327"/>
        <v>-0,000100699300699301</v>
      </c>
      <c r="AT380" t="str">
        <f t="shared" si="328"/>
        <v>0,0588549426402041i</v>
      </c>
      <c r="AU380">
        <f t="shared" si="352"/>
        <v>0.0588549426402041</v>
      </c>
      <c r="AV380">
        <f t="shared" si="353"/>
        <v>1.5707963267949</v>
      </c>
      <c r="AW380" t="str">
        <f t="shared" si="329"/>
        <v>1+3,01326511251867i</v>
      </c>
      <c r="AX380">
        <f t="shared" si="354"/>
        <v>3.17486482205497</v>
      </c>
      <c r="AY380">
        <f t="shared" si="355"/>
        <v>1.25036702490925</v>
      </c>
      <c r="AZ380" t="str">
        <f t="shared" si="330"/>
        <v>1+144,05971718786i</v>
      </c>
      <c r="BA380">
        <f t="shared" si="356"/>
        <v>144.06318792893</v>
      </c>
      <c r="BB380">
        <f t="shared" si="357"/>
        <v>1.56385487252714</v>
      </c>
      <c r="BC380" s="30" t="str">
        <f t="shared" si="358"/>
        <v>-0,0239417120095478+0,0738536999413182i</v>
      </c>
      <c r="BD380" s="32">
        <f t="shared" si="359"/>
        <v>-22.1985740812728</v>
      </c>
      <c r="BE380" s="31">
        <f t="shared" si="360"/>
        <v>107.961530597145</v>
      </c>
      <c r="BF380" s="30" t="str">
        <f t="shared" si="361"/>
        <v>0,113856462866509-0,0102221920164348i</v>
      </c>
      <c r="BG380" s="68">
        <f t="shared" si="362"/>
        <v>-18.8379794147312</v>
      </c>
      <c r="BH380" s="31">
        <f t="shared" si="363"/>
        <v>-5.13033978550257</v>
      </c>
      <c r="BI380" s="30" t="str">
        <f t="shared" si="369"/>
        <v>0,100240789688912+0,306990423901777i</v>
      </c>
      <c r="BJ380" s="68">
        <f t="shared" si="364"/>
        <v>-9.8175176789142</v>
      </c>
      <c r="BK380" s="31">
        <f t="shared" si="370"/>
        <v>71.9167201316202</v>
      </c>
      <c r="BL380" s="32">
        <f t="shared" si="365"/>
        <v>-18.8379794147312</v>
      </c>
      <c r="BM380" s="31">
        <f t="shared" si="366"/>
        <v>-5.13033978550257</v>
      </c>
      <c r="BO380">
        <f t="shared" si="367"/>
        <v>0</v>
      </c>
      <c r="BP380">
        <f t="shared" si="368"/>
        <v>0</v>
      </c>
    </row>
    <row r="381" spans="14:68">
      <c r="N381" s="7">
        <v>63</v>
      </c>
      <c r="O381" s="18">
        <f t="shared" si="318"/>
        <v>42657.9518801593</v>
      </c>
      <c r="P381" s="86" t="str">
        <f t="shared" si="319"/>
        <v>75</v>
      </c>
      <c r="Q381" s="4" t="str">
        <f t="shared" si="320"/>
        <v>1+437,778766930059i</v>
      </c>
      <c r="R381" s="4">
        <f t="shared" si="331"/>
        <v>437.779909057968</v>
      </c>
      <c r="S381" s="4">
        <f t="shared" si="332"/>
        <v>1.56851207196971</v>
      </c>
      <c r="T381" s="4" t="str">
        <f t="shared" si="321"/>
        <v>1+4,20267616252857i</v>
      </c>
      <c r="U381" s="4">
        <f t="shared" si="333"/>
        <v>4.32001006099359</v>
      </c>
      <c r="V381" s="4">
        <f t="shared" si="334"/>
        <v>1.33719663035529</v>
      </c>
      <c r="W381" t="str">
        <f t="shared" si="322"/>
        <v>1-2,20452879061208i</v>
      </c>
      <c r="X381" s="4">
        <f t="shared" si="335"/>
        <v>2.4207327792711</v>
      </c>
      <c r="Y381" s="4">
        <f t="shared" si="336"/>
        <v>-1.14494299060622</v>
      </c>
      <c r="Z381" t="str">
        <f t="shared" si="323"/>
        <v>0,985145299113388+0,691785264310427i</v>
      </c>
      <c r="AA381" s="4">
        <f t="shared" si="337"/>
        <v>1.20377660397694</v>
      </c>
      <c r="AB381" s="4">
        <f t="shared" si="338"/>
        <v>0.612211986423686</v>
      </c>
      <c r="AC381" s="67" t="str">
        <f t="shared" si="339"/>
        <v>-0,603708375736594-1,36036020213298i</v>
      </c>
      <c r="AD381" s="68">
        <f t="shared" si="340"/>
        <v>3.45382295287638</v>
      </c>
      <c r="AE381" s="31">
        <f t="shared" si="341"/>
        <v>-113.930962674931</v>
      </c>
      <c r="AF381" s="32" t="str">
        <f t="shared" si="342"/>
        <v>249,914648392112</v>
      </c>
      <c r="AG381" s="32" t="str">
        <f t="shared" si="324"/>
        <v>1+281,42920731218i</v>
      </c>
      <c r="AH381" s="32">
        <f t="shared" si="343"/>
        <v>281.430983952304</v>
      </c>
      <c r="AI381" s="32">
        <f t="shared" si="344"/>
        <v>1.56724305028548</v>
      </c>
      <c r="AJ381" s="32" t="str">
        <f t="shared" si="325"/>
        <v>1+4,20267616252857i</v>
      </c>
      <c r="AK381" s="32">
        <f t="shared" si="345"/>
        <v>4.32001006099359</v>
      </c>
      <c r="AL381" s="32">
        <f t="shared" si="346"/>
        <v>1.33719663035529</v>
      </c>
      <c r="AM381" s="32" t="str">
        <f t="shared" si="326"/>
        <v>1-0,425300027879081i</v>
      </c>
      <c r="AN381" s="32">
        <f t="shared" si="347"/>
        <v>1.0866830787833</v>
      </c>
      <c r="AO381" s="32">
        <f t="shared" si="348"/>
        <v>-0.402124746305048</v>
      </c>
      <c r="AP381" s="30" t="str">
        <f t="shared" si="349"/>
        <v>3,36313686715961-2,46331407141613i</v>
      </c>
      <c r="AQ381" s="32">
        <f t="shared" si="350"/>
        <v>12.4001493224371</v>
      </c>
      <c r="AR381" s="31">
        <f t="shared" si="351"/>
        <v>-36.2207397551425</v>
      </c>
      <c r="AS381" t="str">
        <f t="shared" si="327"/>
        <v>-0,000100699300699301</v>
      </c>
      <c r="AT381" t="str">
        <f t="shared" si="328"/>
        <v>0,0602258503648066i</v>
      </c>
      <c r="AU381">
        <f t="shared" si="352"/>
        <v>0.0602258503648066</v>
      </c>
      <c r="AV381">
        <f t="shared" si="353"/>
        <v>1.5707963267949</v>
      </c>
      <c r="AW381" t="str">
        <f t="shared" si="329"/>
        <v>1+3,08345307352443i</v>
      </c>
      <c r="AX381">
        <f t="shared" si="354"/>
        <v>3.24155562294206</v>
      </c>
      <c r="AY381">
        <f t="shared" si="355"/>
        <v>1.25718707046826</v>
      </c>
      <c r="AZ381" t="str">
        <f t="shared" si="330"/>
        <v>1+147,415299068285i</v>
      </c>
      <c r="BA381">
        <f t="shared" si="356"/>
        <v>147.418690807482</v>
      </c>
      <c r="BB381">
        <f t="shared" si="357"/>
        <v>1.56401287441333</v>
      </c>
      <c r="BC381" s="30" t="str">
        <f t="shared" si="358"/>
        <v>-0,0229667066727229+0,0724887901552983i</v>
      </c>
      <c r="BD381" s="32">
        <f t="shared" si="359"/>
        <v>-22.3791482869288</v>
      </c>
      <c r="BE381" s="31">
        <f t="shared" si="360"/>
        <v>107.579823611761</v>
      </c>
      <c r="BF381" s="30" t="str">
        <f t="shared" si="361"/>
        <v>0,112476058409445-0,0125190960321318i</v>
      </c>
      <c r="BG381" s="68">
        <f t="shared" si="362"/>
        <v>-18.9253253340525</v>
      </c>
      <c r="BH381" s="31">
        <f t="shared" si="363"/>
        <v>-6.35113906317026</v>
      </c>
      <c r="BI381" s="30" t="str">
        <f t="shared" si="369"/>
        <v>0,101322478881202+0,300363934348085i</v>
      </c>
      <c r="BJ381" s="68">
        <f t="shared" si="364"/>
        <v>-9.97899896449174</v>
      </c>
      <c r="BK381" s="31">
        <f t="shared" si="370"/>
        <v>71.3590838566186</v>
      </c>
      <c r="BL381" s="32">
        <f t="shared" si="365"/>
        <v>-18.9253253340525</v>
      </c>
      <c r="BM381" s="31">
        <f t="shared" si="366"/>
        <v>-6.35113906317026</v>
      </c>
      <c r="BO381">
        <f t="shared" si="367"/>
        <v>0</v>
      </c>
      <c r="BP381">
        <f t="shared" si="368"/>
        <v>0</v>
      </c>
    </row>
    <row r="382" spans="14:68">
      <c r="N382" s="7">
        <v>64</v>
      </c>
      <c r="O382" s="18">
        <f t="shared" si="318"/>
        <v>43651.5832240166</v>
      </c>
      <c r="P382" s="86" t="str">
        <f t="shared" si="319"/>
        <v>75</v>
      </c>
      <c r="Q382" s="4" t="str">
        <f t="shared" si="320"/>
        <v>1+447,975944368838i</v>
      </c>
      <c r="R382" s="4">
        <f t="shared" si="331"/>
        <v>447.977060498807</v>
      </c>
      <c r="S382" s="4">
        <f t="shared" si="332"/>
        <v>1.56856406778283</v>
      </c>
      <c r="T382" s="4" t="str">
        <f t="shared" si="321"/>
        <v>1+4,30056906594085i</v>
      </c>
      <c r="U382" s="4">
        <f t="shared" si="333"/>
        <v>4.41530228760471</v>
      </c>
      <c r="V382" s="4">
        <f t="shared" si="334"/>
        <v>1.34232888167969</v>
      </c>
      <c r="W382" t="str">
        <f t="shared" si="322"/>
        <v>1-2,2558788627145i</v>
      </c>
      <c r="X382" s="4">
        <f t="shared" si="335"/>
        <v>2.46758777822433</v>
      </c>
      <c r="Y382" s="4">
        <f t="shared" si="336"/>
        <v>-1.15353959507729</v>
      </c>
      <c r="Z382" t="str">
        <f t="shared" si="323"/>
        <v>0,984445218628871+0,707899013131948i</v>
      </c>
      <c r="AA382" s="4">
        <f t="shared" si="337"/>
        <v>1.21254006171938</v>
      </c>
      <c r="AB382" s="4">
        <f t="shared" si="338"/>
        <v>0.623419663272999</v>
      </c>
      <c r="AC382" s="67" t="str">
        <f t="shared" si="339"/>
        <v>-0,63038762071829-1,36587451469219i</v>
      </c>
      <c r="AD382" s="68">
        <f t="shared" si="340"/>
        <v>3.5468488830963</v>
      </c>
      <c r="AE382" s="31">
        <f t="shared" si="341"/>
        <v>-114.774587211235</v>
      </c>
      <c r="AF382" s="32" t="str">
        <f t="shared" si="342"/>
        <v>249,914648392112</v>
      </c>
      <c r="AG382" s="32" t="str">
        <f t="shared" si="324"/>
        <v>1+287,984535665681i</v>
      </c>
      <c r="AH382" s="32">
        <f t="shared" si="343"/>
        <v>287.986271864785</v>
      </c>
      <c r="AI382" s="32">
        <f t="shared" si="344"/>
        <v>1.56732393207582</v>
      </c>
      <c r="AJ382" s="32" t="str">
        <f t="shared" si="325"/>
        <v>1+4,30056906594085i</v>
      </c>
      <c r="AK382" s="32">
        <f t="shared" si="345"/>
        <v>4.41530228760471</v>
      </c>
      <c r="AL382" s="32">
        <f t="shared" si="346"/>
        <v>1.34232888167969</v>
      </c>
      <c r="AM382" s="32" t="str">
        <f t="shared" si="326"/>
        <v>1-0,435206538145472i</v>
      </c>
      <c r="AN382" s="32">
        <f t="shared" si="347"/>
        <v>1.0905983361644</v>
      </c>
      <c r="AO382" s="32">
        <f t="shared" si="348"/>
        <v>-0.410483817348521</v>
      </c>
      <c r="AP382" s="30" t="str">
        <f t="shared" si="349"/>
        <v>3,36299676392629-2,48034446247322i</v>
      </c>
      <c r="AQ382" s="32">
        <f t="shared" si="350"/>
        <v>12.4209039965131</v>
      </c>
      <c r="AR382" s="31">
        <f t="shared" si="351"/>
        <v>-36.4102570915206</v>
      </c>
      <c r="AS382" t="str">
        <f t="shared" si="327"/>
        <v>-0,000100699300699301</v>
      </c>
      <c r="AT382" t="str">
        <f t="shared" si="328"/>
        <v>0,0616286906324558i</v>
      </c>
      <c r="AU382">
        <f t="shared" si="352"/>
        <v>0.0616286906324558</v>
      </c>
      <c r="AV382">
        <f t="shared" si="353"/>
        <v>1.5707963267949</v>
      </c>
      <c r="AW382" t="str">
        <f t="shared" si="329"/>
        <v>1+3,1552759221641i</v>
      </c>
      <c r="AX382">
        <f t="shared" si="354"/>
        <v>3.30994956834519</v>
      </c>
      <c r="AY382">
        <f t="shared" si="355"/>
        <v>1.26388115226306</v>
      </c>
      <c r="AZ382" t="str">
        <f t="shared" si="330"/>
        <v>1+150,849042491547i</v>
      </c>
      <c r="BA382">
        <f t="shared" si="356"/>
        <v>150.85235702705</v>
      </c>
      <c r="BB382">
        <f t="shared" si="357"/>
        <v>1.56416728006478</v>
      </c>
      <c r="BC382" s="30" t="str">
        <f t="shared" si="358"/>
        <v>-0,0220273841906114+0,0711364428403416i</v>
      </c>
      <c r="BD382" s="32">
        <f t="shared" si="359"/>
        <v>-22.5605152519907</v>
      </c>
      <c r="BE382" s="31">
        <f t="shared" si="360"/>
        <v>107.205127769364</v>
      </c>
      <c r="BF382" s="30" t="str">
        <f t="shared" si="361"/>
        <v>0,111049244652047-0,0147568902571958i</v>
      </c>
      <c r="BG382" s="68">
        <f t="shared" si="362"/>
        <v>-19.0136663688944</v>
      </c>
      <c r="BH382" s="31">
        <f t="shared" si="363"/>
        <v>-7.56945944187094</v>
      </c>
      <c r="BI382" s="30" t="str">
        <f t="shared" si="369"/>
        <v>0,102364860328297+0,293867127469249i</v>
      </c>
      <c r="BJ382" s="68">
        <f t="shared" si="364"/>
        <v>-10.1396112554775</v>
      </c>
      <c r="BK382" s="31">
        <f t="shared" si="370"/>
        <v>70.7948706778436</v>
      </c>
      <c r="BL382" s="32">
        <f t="shared" si="365"/>
        <v>-19.0136663688944</v>
      </c>
      <c r="BM382" s="31">
        <f t="shared" si="366"/>
        <v>-7.56945944187094</v>
      </c>
      <c r="BO382">
        <f t="shared" si="367"/>
        <v>0</v>
      </c>
      <c r="BP382">
        <f t="shared" si="368"/>
        <v>0</v>
      </c>
    </row>
    <row r="383" spans="14:68">
      <c r="N383" s="7">
        <v>65</v>
      </c>
      <c r="O383" s="18">
        <f t="shared" si="318"/>
        <v>44668.3592150964</v>
      </c>
      <c r="P383" s="86" t="str">
        <f t="shared" si="319"/>
        <v>75</v>
      </c>
      <c r="Q383" s="4" t="str">
        <f t="shared" si="320"/>
        <v>1+458,410644582986i</v>
      </c>
      <c r="R383" s="4">
        <f t="shared" si="331"/>
        <v>458.411735306797</v>
      </c>
      <c r="S383" s="4">
        <f t="shared" si="332"/>
        <v>1.56861488003841</v>
      </c>
      <c r="T383" s="4" t="str">
        <f t="shared" si="321"/>
        <v>1+4,40074218799667i</v>
      </c>
      <c r="U383" s="4">
        <f t="shared" si="333"/>
        <v>4.51292940396963</v>
      </c>
      <c r="V383" s="4">
        <f t="shared" si="334"/>
        <v>1.34735617304978</v>
      </c>
      <c r="W383" t="str">
        <f t="shared" si="322"/>
        <v>1-2,30842503165004i</v>
      </c>
      <c r="X383" s="4">
        <f t="shared" si="335"/>
        <v>2.51571582790038</v>
      </c>
      <c r="Y383" s="4">
        <f t="shared" si="336"/>
        <v>-1.16200430444373</v>
      </c>
      <c r="Z383" t="str">
        <f t="shared" si="323"/>
        <v>0,983712144367601+0,724388099380386i</v>
      </c>
      <c r="AA383" s="4">
        <f t="shared" si="337"/>
        <v>1.22164958212256</v>
      </c>
      <c r="AB383" s="4">
        <f t="shared" si="338"/>
        <v>0.63472858946365</v>
      </c>
      <c r="AC383" s="67" t="str">
        <f t="shared" si="339"/>
        <v>-0,657511235520916-1,37095596623881i</v>
      </c>
      <c r="AD383" s="68">
        <f t="shared" si="340"/>
        <v>3.63958015348549</v>
      </c>
      <c r="AE383" s="31">
        <f t="shared" si="341"/>
        <v>-115.62240182419</v>
      </c>
      <c r="AF383" s="32" t="str">
        <f t="shared" si="342"/>
        <v>249,914648392112</v>
      </c>
      <c r="AG383" s="32" t="str">
        <f t="shared" si="324"/>
        <v>1+294,69255723192i</v>
      </c>
      <c r="AH383" s="32">
        <f t="shared" si="343"/>
        <v>294.694253910538</v>
      </c>
      <c r="AI383" s="32">
        <f t="shared" si="344"/>
        <v>1.56740297281573</v>
      </c>
      <c r="AJ383" s="32" t="str">
        <f t="shared" si="325"/>
        <v>1+4,40074218799667i</v>
      </c>
      <c r="AK383" s="32">
        <f t="shared" si="345"/>
        <v>4.51292940396963</v>
      </c>
      <c r="AL383" s="32">
        <f t="shared" si="346"/>
        <v>1.34735617304978</v>
      </c>
      <c r="AM383" s="32" t="str">
        <f t="shared" si="326"/>
        <v>1-0,44534380067903i</v>
      </c>
      <c r="AN383" s="32">
        <f t="shared" si="347"/>
        <v>1.09468310519677</v>
      </c>
      <c r="AO383" s="32">
        <f t="shared" si="348"/>
        <v>-0.418975087663272</v>
      </c>
      <c r="AP383" s="30" t="str">
        <f t="shared" si="349"/>
        <v>3,36286296622854-2,49868992119263i</v>
      </c>
      <c r="AQ383" s="32">
        <f t="shared" si="350"/>
        <v>12.4433399980272</v>
      </c>
      <c r="AR383" s="31">
        <f t="shared" si="351"/>
        <v>-36.6132571661784</v>
      </c>
      <c r="AS383" t="str">
        <f t="shared" si="327"/>
        <v>-0,000100699300699301</v>
      </c>
      <c r="AT383" t="str">
        <f t="shared" si="328"/>
        <v>0,0630642072476307i</v>
      </c>
      <c r="AU383">
        <f t="shared" si="352"/>
        <v>0.0630642072476307</v>
      </c>
      <c r="AV383">
        <f t="shared" si="353"/>
        <v>1.5707963267949</v>
      </c>
      <c r="AW383" t="str">
        <f t="shared" si="329"/>
        <v>1+3,22877173986273i</v>
      </c>
      <c r="AX383">
        <f t="shared" si="354"/>
        <v>3.380083867027</v>
      </c>
      <c r="AY383">
        <f t="shared" si="355"/>
        <v>1.27045041901024</v>
      </c>
      <c r="AZ383" t="str">
        <f t="shared" si="330"/>
        <v>1+154,362768073863i</v>
      </c>
      <c r="BA383">
        <f t="shared" si="356"/>
        <v>154.366007162928</v>
      </c>
      <c r="BB383">
        <f t="shared" si="357"/>
        <v>1.56431817131993</v>
      </c>
      <c r="BC383" s="30" t="str">
        <f t="shared" si="358"/>
        <v>-0,0211227630743848+0,0697973547081225i</v>
      </c>
      <c r="BD383" s="32">
        <f t="shared" si="359"/>
        <v>-22.7426458299451</v>
      </c>
      <c r="BE383" s="31">
        <f t="shared" si="360"/>
        <v>106.837381942341</v>
      </c>
      <c r="BF383" s="30" t="str">
        <f t="shared" si="361"/>
        <v>0,109577553911441-0,0169341668699526i</v>
      </c>
      <c r="BG383" s="68">
        <f t="shared" si="362"/>
        <v>-19.1030656764597</v>
      </c>
      <c r="BH383" s="31">
        <f t="shared" si="363"/>
        <v>-8.78501988184846</v>
      </c>
      <c r="BI383" s="30" t="str">
        <f t="shared" si="369"/>
        <v>0,103368989047824+0,287498174490368i</v>
      </c>
      <c r="BJ383" s="68">
        <f t="shared" si="364"/>
        <v>-10.299305831918</v>
      </c>
      <c r="BK383" s="31">
        <f t="shared" si="370"/>
        <v>70.224124776163</v>
      </c>
      <c r="BL383" s="32">
        <f t="shared" si="365"/>
        <v>-19.1030656764597</v>
      </c>
      <c r="BM383" s="31">
        <f t="shared" si="366"/>
        <v>-8.78501988184846</v>
      </c>
      <c r="BO383">
        <f t="shared" si="367"/>
        <v>0</v>
      </c>
      <c r="BP383">
        <f t="shared" si="368"/>
        <v>0</v>
      </c>
    </row>
    <row r="384" spans="14:68">
      <c r="N384" s="7">
        <v>66</v>
      </c>
      <c r="O384" s="18">
        <f t="shared" ref="O384:O418" si="371">10^(4+(N384/100))</f>
        <v>45708.8189614876</v>
      </c>
      <c r="P384" s="86" t="str">
        <f t="shared" si="319"/>
        <v>75</v>
      </c>
      <c r="Q384" s="4" t="str">
        <f t="shared" si="320"/>
        <v>1+469,088400188673i</v>
      </c>
      <c r="R384" s="4">
        <f t="shared" si="331"/>
        <v>469.089466084636</v>
      </c>
      <c r="S384" s="4">
        <f t="shared" si="332"/>
        <v>1.56866453567673</v>
      </c>
      <c r="T384" s="4" t="str">
        <f t="shared" si="321"/>
        <v>1+4,50324864181127i</v>
      </c>
      <c r="U384" s="4">
        <f t="shared" si="333"/>
        <v>4.61294356457729</v>
      </c>
      <c r="V384" s="4">
        <f t="shared" si="334"/>
        <v>1.35228015308222</v>
      </c>
      <c r="W384" t="str">
        <f t="shared" si="322"/>
        <v>1-2,36219515809296i</v>
      </c>
      <c r="X384" s="4">
        <f t="shared" si="335"/>
        <v>2.56514443353933</v>
      </c>
      <c r="Y384" s="4">
        <f t="shared" si="336"/>
        <v>-1.17033675369839</v>
      </c>
      <c r="Z384" t="str">
        <f t="shared" si="323"/>
        <v>0,982944521380783+0,741261265787524i</v>
      </c>
      <c r="AA384" s="4">
        <f t="shared" si="337"/>
        <v>1.23111664608575</v>
      </c>
      <c r="AB384" s="4">
        <f t="shared" si="338"/>
        <v>0.646134737020113</v>
      </c>
      <c r="AC384" s="67" t="str">
        <f t="shared" si="339"/>
        <v>-0,685060969330085-1,37557887327249i</v>
      </c>
      <c r="AD384" s="68">
        <f t="shared" si="340"/>
        <v>3.73192688835624</v>
      </c>
      <c r="AE384" s="31">
        <f t="shared" si="341"/>
        <v>-116.474061899217</v>
      </c>
      <c r="AF384" s="32" t="str">
        <f t="shared" si="342"/>
        <v>249,914648392112</v>
      </c>
      <c r="AG384" s="32" t="str">
        <f t="shared" si="324"/>
        <v>1+301,556828692718i</v>
      </c>
      <c r="AH384" s="32">
        <f t="shared" si="343"/>
        <v>301.55848675043</v>
      </c>
      <c r="AI384" s="32">
        <f t="shared" si="344"/>
        <v>1.56748021440972</v>
      </c>
      <c r="AJ384" s="32" t="str">
        <f t="shared" si="325"/>
        <v>1+4,50324864181127i</v>
      </c>
      <c r="AK384" s="32">
        <f t="shared" si="345"/>
        <v>4.61294356457729</v>
      </c>
      <c r="AL384" s="32">
        <f t="shared" si="346"/>
        <v>1.35228015308222</v>
      </c>
      <c r="AM384" s="32" t="str">
        <f t="shared" si="326"/>
        <v>1-0,455717190390528i</v>
      </c>
      <c r="AN384" s="32">
        <f t="shared" si="347"/>
        <v>1.09894411032474</v>
      </c>
      <c r="AO384" s="32">
        <f t="shared" si="348"/>
        <v>-0.427598160507758</v>
      </c>
      <c r="AP384" s="30" t="str">
        <f t="shared" si="349"/>
        <v>3,36273519028362-2,51836017750299i</v>
      </c>
      <c r="AQ384" s="32">
        <f t="shared" si="350"/>
        <v>12.46747808671</v>
      </c>
      <c r="AR384" s="31">
        <f t="shared" si="351"/>
        <v>-36.8296251896742</v>
      </c>
      <c r="AS384" t="str">
        <f t="shared" si="327"/>
        <v>-0,000100699300699301</v>
      </c>
      <c r="AT384" t="str">
        <f t="shared" si="328"/>
        <v>0,0645331613402417i</v>
      </c>
      <c r="AU384">
        <f t="shared" si="352"/>
        <v>0.0645331613402417</v>
      </c>
      <c r="AV384">
        <f t="shared" si="353"/>
        <v>1.5707963267949</v>
      </c>
      <c r="AW384" t="str">
        <f t="shared" si="329"/>
        <v>1+3,30397949507567i</v>
      </c>
      <c r="AX384">
        <f t="shared" si="354"/>
        <v>3.45199659673651</v>
      </c>
      <c r="AY384">
        <f t="shared" si="355"/>
        <v>1.27689608502111</v>
      </c>
      <c r="AZ384" t="str">
        <f t="shared" si="330"/>
        <v>1+157,958338839043i</v>
      </c>
      <c r="BA384">
        <f t="shared" si="356"/>
        <v>157.961504198934</v>
      </c>
      <c r="BB384">
        <f t="shared" si="357"/>
        <v>1.56446562815584</v>
      </c>
      <c r="BC384" s="30" t="str">
        <f t="shared" si="358"/>
        <v>-0,0202518621393285+0,0684721644522901i</v>
      </c>
      <c r="BD384" s="32">
        <f t="shared" si="359"/>
        <v>-22.9255116868951</v>
      </c>
      <c r="BE384" s="31">
        <f t="shared" si="360"/>
        <v>106.476521138125</v>
      </c>
      <c r="BF384" s="30" t="str">
        <f t="shared" si="361"/>
        <v>0,108062623135717-0,0190495736485275i</v>
      </c>
      <c r="BG384" s="68">
        <f t="shared" si="362"/>
        <v>-19.1935847985389</v>
      </c>
      <c r="BH384" s="31">
        <f t="shared" si="363"/>
        <v>-9.99754076109243</v>
      </c>
      <c r="BI384" s="30" t="str">
        <f t="shared" si="369"/>
        <v>0,104335922739391+0,281255240090568i</v>
      </c>
      <c r="BJ384" s="68">
        <f t="shared" si="364"/>
        <v>-10.4580336001851</v>
      </c>
      <c r="BK384" s="31">
        <f t="shared" si="370"/>
        <v>69.6468959484507</v>
      </c>
      <c r="BL384" s="32">
        <f t="shared" si="365"/>
        <v>-19.1935847985389</v>
      </c>
      <c r="BM384" s="31">
        <f t="shared" si="366"/>
        <v>-9.99754076109243</v>
      </c>
      <c r="BO384">
        <f t="shared" si="367"/>
        <v>0</v>
      </c>
      <c r="BP384">
        <f t="shared" si="368"/>
        <v>0</v>
      </c>
    </row>
    <row r="385" spans="14:68">
      <c r="N385" s="7">
        <v>67</v>
      </c>
      <c r="O385" s="18">
        <f t="shared" si="371"/>
        <v>46773.5141287199</v>
      </c>
      <c r="P385" s="86" t="str">
        <f t="shared" si="319"/>
        <v>75</v>
      </c>
      <c r="Q385" s="4" t="str">
        <f t="shared" si="320"/>
        <v>1+480,014872673259i</v>
      </c>
      <c r="R385" s="4">
        <f t="shared" si="331"/>
        <v>480.015914306521</v>
      </c>
      <c r="S385" s="4">
        <f t="shared" si="332"/>
        <v>1.56871306102489</v>
      </c>
      <c r="T385" s="4" t="str">
        <f t="shared" si="321"/>
        <v>1+4,60814277766329i</v>
      </c>
      <c r="U385" s="4">
        <f t="shared" si="333"/>
        <v>4.71539816551374</v>
      </c>
      <c r="V385" s="4">
        <f t="shared" si="334"/>
        <v>1.35710247702558</v>
      </c>
      <c r="W385" t="str">
        <f t="shared" si="322"/>
        <v>1-2,41721775167605i</v>
      </c>
      <c r="X385" s="4">
        <f t="shared" si="335"/>
        <v>2.61590169139014</v>
      </c>
      <c r="Y385" s="4">
        <f t="shared" si="336"/>
        <v>-1.1785367316085</v>
      </c>
      <c r="Z385" t="str">
        <f t="shared" si="323"/>
        <v>0,982140721437146+0,758527458729534i</v>
      </c>
      <c r="AA385" s="4">
        <f t="shared" si="337"/>
        <v>1.24095298152338</v>
      </c>
      <c r="AB385" s="4">
        <f t="shared" si="338"/>
        <v>0.657633890782212</v>
      </c>
      <c r="AC385" s="67" t="str">
        <f t="shared" si="339"/>
        <v>-0,713017060102797-1,37971831930579i</v>
      </c>
      <c r="AD385" s="68">
        <f t="shared" si="340"/>
        <v>3.82380178701545</v>
      </c>
      <c r="AE385" s="31">
        <f t="shared" si="341"/>
        <v>-117.329220492356</v>
      </c>
      <c r="AF385" s="32" t="str">
        <f t="shared" si="342"/>
        <v>249,914648392112</v>
      </c>
      <c r="AG385" s="32" t="str">
        <f t="shared" si="324"/>
        <v>1+308,580989575666i</v>
      </c>
      <c r="AH385" s="32">
        <f t="shared" si="343"/>
        <v>308.582609891577</v>
      </c>
      <c r="AI385" s="32">
        <f t="shared" si="344"/>
        <v>1.5675556978086</v>
      </c>
      <c r="AJ385" s="32" t="str">
        <f t="shared" si="325"/>
        <v>1+4,60814277766329i</v>
      </c>
      <c r="AK385" s="32">
        <f t="shared" si="345"/>
        <v>4.71539816551374</v>
      </c>
      <c r="AL385" s="32">
        <f t="shared" si="346"/>
        <v>1.35710247702558</v>
      </c>
      <c r="AM385" s="32" t="str">
        <f t="shared" si="326"/>
        <v>1-0,466332207388501i</v>
      </c>
      <c r="AN385" s="32">
        <f t="shared" si="347"/>
        <v>1.1033882941412</v>
      </c>
      <c r="AO385" s="32">
        <f t="shared" si="348"/>
        <v>-0.436352477397288</v>
      </c>
      <c r="AP385" s="30" t="str">
        <f t="shared" si="349"/>
        <v>3,36261316507992-2,53936566356302i</v>
      </c>
      <c r="AQ385" s="32">
        <f t="shared" si="350"/>
        <v>12.4933401398821</v>
      </c>
      <c r="AR385" s="31">
        <f t="shared" si="351"/>
        <v>-37.059236670744</v>
      </c>
      <c r="AS385" t="str">
        <f t="shared" si="327"/>
        <v>-0,000100699300699301</v>
      </c>
      <c r="AT385" t="str">
        <f t="shared" si="328"/>
        <v>0,0660363317691926i</v>
      </c>
      <c r="AU385">
        <f t="shared" si="352"/>
        <v>0.0660363317691926</v>
      </c>
      <c r="AV385">
        <f t="shared" si="353"/>
        <v>1.5707963267949</v>
      </c>
      <c r="AW385" t="str">
        <f t="shared" si="329"/>
        <v>1+3,38093906395023i</v>
      </c>
      <c r="AX385">
        <f t="shared" si="354"/>
        <v>3.52572672709396</v>
      </c>
      <c r="AY385">
        <f t="shared" si="355"/>
        <v>1.28321942472309</v>
      </c>
      <c r="AZ385" t="str">
        <f t="shared" si="330"/>
        <v>1+161,637661206301i</v>
      </c>
      <c r="BA385">
        <f t="shared" si="356"/>
        <v>161.640754515199</v>
      </c>
      <c r="BB385">
        <f t="shared" si="357"/>
        <v>1.5646097287304</v>
      </c>
      <c r="BC385" s="30" t="str">
        <f t="shared" si="358"/>
        <v>-0,0194137031379507+0,0671614548621559i</v>
      </c>
      <c r="BD385" s="32">
        <f t="shared" si="359"/>
        <v>-23.1090853002385</v>
      </c>
      <c r="BE385" s="31">
        <f t="shared" si="360"/>
        <v>106.122476815522</v>
      </c>
      <c r="BF385" s="30" t="str">
        <f t="shared" si="361"/>
        <v>0,106506191161675-0,0211018212330462i</v>
      </c>
      <c r="BG385" s="68">
        <f t="shared" si="362"/>
        <v>-19.2852835132231</v>
      </c>
      <c r="BH385" s="31">
        <f t="shared" si="363"/>
        <v>-11.2067436768345</v>
      </c>
      <c r="BI385" s="30" t="str">
        <f t="shared" si="369"/>
        <v>0,10526671863727+0,275136483456524i</v>
      </c>
      <c r="BJ385" s="68">
        <f t="shared" si="364"/>
        <v>-10.6157451603564</v>
      </c>
      <c r="BK385" s="31">
        <f t="shared" si="370"/>
        <v>69.0632401447778</v>
      </c>
      <c r="BL385" s="32">
        <f t="shared" si="365"/>
        <v>-19.2852835132231</v>
      </c>
      <c r="BM385" s="31">
        <f t="shared" si="366"/>
        <v>-11.2067436768345</v>
      </c>
      <c r="BO385">
        <f t="shared" si="367"/>
        <v>0</v>
      </c>
      <c r="BP385">
        <f t="shared" si="368"/>
        <v>0</v>
      </c>
    </row>
    <row r="386" spans="14:68">
      <c r="N386" s="7">
        <v>68</v>
      </c>
      <c r="O386" s="18">
        <f t="shared" si="371"/>
        <v>47863.0092322638</v>
      </c>
      <c r="P386" s="86" t="str">
        <f t="shared" si="319"/>
        <v>75</v>
      </c>
      <c r="Q386" s="4" t="str">
        <f t="shared" si="320"/>
        <v>1+491,195855397083i</v>
      </c>
      <c r="R386" s="4">
        <f t="shared" si="331"/>
        <v>491.196873319927</v>
      </c>
      <c r="S386" s="4">
        <f t="shared" si="332"/>
        <v>1.56876048181075</v>
      </c>
      <c r="T386" s="4" t="str">
        <f t="shared" si="321"/>
        <v>1+4,715480211812i</v>
      </c>
      <c r="U386" s="4">
        <f t="shared" si="333"/>
        <v>4.82034787416744</v>
      </c>
      <c r="V386" s="4">
        <f t="shared" si="334"/>
        <v>1.36182480419111</v>
      </c>
      <c r="W386" t="str">
        <f t="shared" si="322"/>
        <v>1-2,47352198610674i</v>
      </c>
      <c r="X386" s="4">
        <f t="shared" si="335"/>
        <v>2.66801630725028</v>
      </c>
      <c r="Y386" s="4">
        <f t="shared" si="336"/>
        <v>-1.1866041739522</v>
      </c>
      <c r="Z386" t="str">
        <f t="shared" si="323"/>
        <v>0,981299039569243+0,776195832970459i</v>
      </c>
      <c r="AA386" s="4">
        <f t="shared" si="337"/>
        <v>1.25117056238557</v>
      </c>
      <c r="AB386" s="4">
        <f t="shared" si="338"/>
        <v>0.669221655349109</v>
      </c>
      <c r="AC386" s="67" t="str">
        <f t="shared" si="339"/>
        <v>-0,7413582678887-1,38335026948212i</v>
      </c>
      <c r="AD386" s="68">
        <f t="shared" si="340"/>
        <v>3.91512026355546</v>
      </c>
      <c r="AE386" s="31">
        <f t="shared" si="341"/>
        <v>-118.187528488617</v>
      </c>
      <c r="AF386" s="32" t="str">
        <f t="shared" si="342"/>
        <v>249,914648392112</v>
      </c>
      <c r="AG386" s="32" t="str">
        <f t="shared" si="324"/>
        <v>1+315,768764183839i</v>
      </c>
      <c r="AH386" s="32">
        <f t="shared" si="343"/>
        <v>315.770347617044</v>
      </c>
      <c r="AI386" s="32">
        <f t="shared" si="344"/>
        <v>1.56762946303124</v>
      </c>
      <c r="AJ386" s="32" t="str">
        <f t="shared" si="325"/>
        <v>1+4,715480211812i</v>
      </c>
      <c r="AK386" s="32">
        <f t="shared" si="345"/>
        <v>4.82034787416744</v>
      </c>
      <c r="AL386" s="32">
        <f t="shared" si="346"/>
        <v>1.36182480419111</v>
      </c>
      <c r="AM386" s="32" t="str">
        <f t="shared" si="326"/>
        <v>1-0,477194479895468i</v>
      </c>
      <c r="AN386" s="32">
        <f t="shared" si="347"/>
        <v>1.10802282090339</v>
      </c>
      <c r="AO386" s="32">
        <f t="shared" si="348"/>
        <v>-0.445237311649551</v>
      </c>
      <c r="AP386" s="30" t="str">
        <f t="shared" si="349"/>
        <v>3,36249663180231-2,56171751930581i</v>
      </c>
      <c r="AQ386" s="32">
        <f t="shared" si="350"/>
        <v>12.5209490786008</v>
      </c>
      <c r="AR386" s="31">
        <f t="shared" si="351"/>
        <v>-37.3019571949393</v>
      </c>
      <c r="AS386" t="str">
        <f t="shared" si="327"/>
        <v>-0,000100699300699301</v>
      </c>
      <c r="AT386" t="str">
        <f t="shared" si="328"/>
        <v>0,0675745155353415i</v>
      </c>
      <c r="AU386">
        <f t="shared" si="352"/>
        <v>0.0675745155353415</v>
      </c>
      <c r="AV386">
        <f t="shared" si="353"/>
        <v>1.5707963267949</v>
      </c>
      <c r="AW386" t="str">
        <f t="shared" si="329"/>
        <v>1+3,45969125146852i</v>
      </c>
      <c r="AX386">
        <f t="shared" si="354"/>
        <v>3.6013141428495</v>
      </c>
      <c r="AY386">
        <f t="shared" si="355"/>
        <v>1.28942176738628</v>
      </c>
      <c r="AZ386" t="str">
        <f t="shared" si="330"/>
        <v>1+165,402686001058i</v>
      </c>
      <c r="BA386">
        <f t="shared" si="356"/>
        <v>165.405708898951</v>
      </c>
      <c r="BB386">
        <f t="shared" si="357"/>
        <v>1.56475054942369</v>
      </c>
      <c r="BC386" s="30" t="str">
        <f t="shared" si="358"/>
        <v>-0,0186073131664757+0,0658657549889582i</v>
      </c>
      <c r="BD386" s="32">
        <f t="shared" si="359"/>
        <v>-23.2933399552588</v>
      </c>
      <c r="BE386" s="31">
        <f t="shared" si="360"/>
        <v>105.775177189221</v>
      </c>
      <c r="BF386" s="30" t="str">
        <f t="shared" si="361"/>
        <v>0,10491009537278-0,0230896903486132i</v>
      </c>
      <c r="BG386" s="68">
        <f t="shared" si="362"/>
        <v>-19.3782196917034</v>
      </c>
      <c r="BH386" s="31">
        <f t="shared" si="363"/>
        <v>-12.4123512993958</v>
      </c>
      <c r="BI386" s="30" t="str">
        <f t="shared" si="369"/>
        <v>0,106162430628353+0,269140059427259i</v>
      </c>
      <c r="BJ386" s="68">
        <f t="shared" si="364"/>
        <v>-10.7723908766581</v>
      </c>
      <c r="BK386" s="31">
        <f t="shared" si="370"/>
        <v>68.4732199942814</v>
      </c>
      <c r="BL386" s="32">
        <f t="shared" si="365"/>
        <v>-19.3782196917034</v>
      </c>
      <c r="BM386" s="31">
        <f t="shared" si="366"/>
        <v>-12.4123512993958</v>
      </c>
      <c r="BO386">
        <f t="shared" si="367"/>
        <v>0</v>
      </c>
      <c r="BP386">
        <f t="shared" si="368"/>
        <v>0</v>
      </c>
    </row>
    <row r="387" spans="14:68">
      <c r="N387" s="7">
        <v>69</v>
      </c>
      <c r="O387" s="18">
        <f t="shared" si="371"/>
        <v>48977.8819368446</v>
      </c>
      <c r="P387" s="86" t="str">
        <f t="shared" si="319"/>
        <v>75</v>
      </c>
      <c r="Q387" s="4" t="str">
        <f t="shared" si="320"/>
        <v>1+502,637276665185i</v>
      </c>
      <c r="R387" s="4">
        <f t="shared" si="331"/>
        <v>502.638271417322</v>
      </c>
      <c r="S387" s="4">
        <f t="shared" si="332"/>
        <v>1.56880682317658</v>
      </c>
      <c r="T387" s="4" t="str">
        <f t="shared" si="321"/>
        <v>1+4,82531785598578i</v>
      </c>
      <c r="U387" s="4">
        <f t="shared" si="333"/>
        <v>4.92784865953645</v>
      </c>
      <c r="V387" s="4">
        <f t="shared" si="334"/>
        <v>1.36644879555187</v>
      </c>
      <c r="W387" t="str">
        <f t="shared" si="322"/>
        <v>1-2,53113771463539i</v>
      </c>
      <c r="X387" s="4">
        <f t="shared" si="335"/>
        <v>2.72151761531129</v>
      </c>
      <c r="Y387" s="4">
        <f t="shared" si="336"/>
        <v>-1.19453915668153</v>
      </c>
      <c r="Z387" t="str">
        <f t="shared" si="323"/>
        <v>0,980417690456984+0,794275756516192i</v>
      </c>
      <c r="AA387" s="4">
        <f t="shared" si="337"/>
        <v>1.26178160754957</v>
      </c>
      <c r="AB387" s="4">
        <f t="shared" si="338"/>
        <v>0.680893463014392</v>
      </c>
      <c r="AC387" s="67" t="str">
        <f t="shared" si="339"/>
        <v>-0,77006191854526-1,38645168402604i</v>
      </c>
      <c r="AD387" s="68">
        <f t="shared" si="340"/>
        <v>4.00580057889472</v>
      </c>
      <c r="AE387" s="31">
        <f t="shared" si="341"/>
        <v>-119.048634803227</v>
      </c>
      <c r="AF387" s="32" t="str">
        <f t="shared" si="342"/>
        <v>249,914648392112</v>
      </c>
      <c r="AG387" s="32" t="str">
        <f t="shared" si="324"/>
        <v>1+323,123963570476i</v>
      </c>
      <c r="AH387" s="32">
        <f t="shared" si="343"/>
        <v>323.125510960516</v>
      </c>
      <c r="AI387" s="32">
        <f t="shared" si="344"/>
        <v>1.56770154918571</v>
      </c>
      <c r="AJ387" s="32" t="str">
        <f t="shared" si="325"/>
        <v>1+4,82531785598578i</v>
      </c>
      <c r="AK387" s="32">
        <f t="shared" si="345"/>
        <v>4.92784865953645</v>
      </c>
      <c r="AL387" s="32">
        <f t="shared" si="346"/>
        <v>1.36644879555187</v>
      </c>
      <c r="AM387" s="32" t="str">
        <f t="shared" si="326"/>
        <v>1-0,48830976723209i</v>
      </c>
      <c r="AN387" s="32">
        <f t="shared" si="347"/>
        <v>1.11285507986182</v>
      </c>
      <c r="AO387" s="32">
        <f t="shared" si="348"/>
        <v>-0.454251762143079</v>
      </c>
      <c r="AP387" s="30" t="str">
        <f t="shared" si="349"/>
        <v>3,36238534328331-2,58542759835757i</v>
      </c>
      <c r="AQ387" s="32">
        <f t="shared" si="350"/>
        <v>12.5503287886754</v>
      </c>
      <c r="AR387" s="31">
        <f t="shared" si="351"/>
        <v>-37.5576422057842</v>
      </c>
      <c r="AS387" t="str">
        <f t="shared" si="327"/>
        <v>-0,000100699300699301</v>
      </c>
      <c r="AT387" t="str">
        <f t="shared" si="328"/>
        <v>0,0691485282040819i</v>
      </c>
      <c r="AU387">
        <f t="shared" si="352"/>
        <v>0.0691485282040819</v>
      </c>
      <c r="AV387">
        <f t="shared" si="353"/>
        <v>1.5707963267949</v>
      </c>
      <c r="AW387" t="str">
        <f t="shared" si="329"/>
        <v>1+3,54027781308276i</v>
      </c>
      <c r="AX387">
        <f t="shared" si="354"/>
        <v>3.67879966752826</v>
      </c>
      <c r="AY387">
        <f t="shared" si="355"/>
        <v>1.2955044920596</v>
      </c>
      <c r="AZ387" t="str">
        <f t="shared" si="330"/>
        <v>1+169,255409489297i</v>
      </c>
      <c r="BA387">
        <f t="shared" si="356"/>
        <v>169.258363578848</v>
      </c>
      <c r="BB387">
        <f t="shared" si="357"/>
        <v>1.56488816487835</v>
      </c>
      <c r="BC387" s="30" t="str">
        <f t="shared" si="358"/>
        <v>-0,0178317268528396+0,064585542347933i</v>
      </c>
      <c r="BD387" s="32">
        <f t="shared" si="359"/>
        <v>-23.4782497398102</v>
      </c>
      <c r="BE387" s="31">
        <f t="shared" si="360"/>
        <v>105.434547522247</v>
      </c>
      <c r="BF387" s="30" t="str">
        <f t="shared" si="361"/>
        <v>0,1032762677433-0,0250120389265236i</v>
      </c>
      <c r="BG387" s="68">
        <f t="shared" si="362"/>
        <v>-19.4724491609154</v>
      </c>
      <c r="BH387" s="31">
        <f t="shared" si="363"/>
        <v>-13.6140872809801</v>
      </c>
      <c r="BI387" s="30" t="str">
        <f t="shared" si="369"/>
        <v>0,107024106625818+0,263264119710399i</v>
      </c>
      <c r="BJ387" s="68">
        <f t="shared" si="364"/>
        <v>-10.9279209511348</v>
      </c>
      <c r="BK387" s="31">
        <f t="shared" si="370"/>
        <v>67.8769053164631</v>
      </c>
      <c r="BL387" s="32">
        <f t="shared" si="365"/>
        <v>-19.4724491609154</v>
      </c>
      <c r="BM387" s="31">
        <f t="shared" si="366"/>
        <v>-13.6140872809801</v>
      </c>
      <c r="BO387">
        <f t="shared" si="367"/>
        <v>0</v>
      </c>
      <c r="BP387">
        <f t="shared" si="368"/>
        <v>0</v>
      </c>
    </row>
    <row r="388" spans="14:68">
      <c r="N388" s="7">
        <v>70</v>
      </c>
      <c r="O388" s="18">
        <f t="shared" si="371"/>
        <v>50118.7233627273</v>
      </c>
      <c r="P388" s="86" t="str">
        <f t="shared" si="319"/>
        <v>75</v>
      </c>
      <c r="Q388" s="4" t="str">
        <f t="shared" si="320"/>
        <v>1+514,345202870567i</v>
      </c>
      <c r="R388" s="4">
        <f t="shared" si="331"/>
        <v>514.346174979424</v>
      </c>
      <c r="S388" s="4">
        <f t="shared" si="332"/>
        <v>1.5688521096924</v>
      </c>
      <c r="T388" s="4" t="str">
        <f t="shared" si="321"/>
        <v>1+4,93771394755745i</v>
      </c>
      <c r="U388" s="4">
        <f t="shared" si="333"/>
        <v>5.03795782315646</v>
      </c>
      <c r="V388" s="4">
        <f t="shared" si="334"/>
        <v>1.37097611150412</v>
      </c>
      <c r="W388" t="str">
        <f t="shared" si="322"/>
        <v>1-2,59009548588393i</v>
      </c>
      <c r="X388" s="4">
        <f t="shared" si="335"/>
        <v>2.77643559730751</v>
      </c>
      <c r="Y388" s="4">
        <f t="shared" si="336"/>
        <v>-1.20234188904924</v>
      </c>
      <c r="Z388" t="str">
        <f t="shared" si="323"/>
        <v>0,979494804640738+0,812776815581515i</v>
      </c>
      <c r="AA388" s="4">
        <f t="shared" si="337"/>
        <v>1.27279857961306</v>
      </c>
      <c r="AB388" s="4">
        <f t="shared" si="338"/>
        <v>0.692644582677636</v>
      </c>
      <c r="AC388" s="67" t="str">
        <f t="shared" si="339"/>
        <v>-0,799103957886225-1,38900062946377i</v>
      </c>
      <c r="AD388" s="68">
        <f t="shared" si="340"/>
        <v>4.09576396450183</v>
      </c>
      <c r="AE388" s="31">
        <f t="shared" si="341"/>
        <v>-119.912186627464</v>
      </c>
      <c r="AF388" s="32" t="str">
        <f t="shared" si="342"/>
        <v>249,914648392112</v>
      </c>
      <c r="AG388" s="32" t="str">
        <f t="shared" si="324"/>
        <v>1+330,65048755965i</v>
      </c>
      <c r="AH388" s="32">
        <f t="shared" si="343"/>
        <v>330.651999726955</v>
      </c>
      <c r="AI388" s="32">
        <f t="shared" si="344"/>
        <v>1.56777199449006</v>
      </c>
      <c r="AJ388" s="32" t="str">
        <f t="shared" si="325"/>
        <v>1+4,93771394755745i</v>
      </c>
      <c r="AK388" s="32">
        <f t="shared" si="345"/>
        <v>5.03795782315646</v>
      </c>
      <c r="AL388" s="32">
        <f t="shared" si="346"/>
        <v>1.37097611150412</v>
      </c>
      <c r="AM388" s="32" t="str">
        <f t="shared" si="326"/>
        <v>1-0,499683962870845i</v>
      </c>
      <c r="AN388" s="32">
        <f t="shared" si="347"/>
        <v>1.11789268838754</v>
      </c>
      <c r="AO388" s="32">
        <f t="shared" si="348"/>
        <v>-0.463394747337401</v>
      </c>
      <c r="AP388" s="30" t="str">
        <f t="shared" si="349"/>
        <v>3,362279063479-2,61050847433382i</v>
      </c>
      <c r="AQ388" s="32">
        <f t="shared" si="350"/>
        <v>12.581504036596</v>
      </c>
      <c r="AR388" s="31">
        <f t="shared" si="351"/>
        <v>-37.8261367916091</v>
      </c>
      <c r="AS388" t="str">
        <f t="shared" si="327"/>
        <v>-0,000100699300699301</v>
      </c>
      <c r="AT388" t="str">
        <f t="shared" si="328"/>
        <v>0,0707592043377653i</v>
      </c>
      <c r="AU388">
        <f t="shared" si="352"/>
        <v>0.0707592043377653</v>
      </c>
      <c r="AV388">
        <f t="shared" si="353"/>
        <v>1.5707963267949</v>
      </c>
      <c r="AW388" t="str">
        <f t="shared" si="329"/>
        <v>1+3,62274147685463i</v>
      </c>
      <c r="AX388">
        <f t="shared" si="354"/>
        <v>3.75822508747452</v>
      </c>
      <c r="AY388">
        <f t="shared" si="355"/>
        <v>1.30146902271906</v>
      </c>
      <c r="AZ388" t="str">
        <f t="shared" si="330"/>
        <v>1+173,197874436007i</v>
      </c>
      <c r="BA388">
        <f t="shared" si="356"/>
        <v>173.200761283404</v>
      </c>
      <c r="BB388">
        <f t="shared" si="357"/>
        <v>1.56502264803906</v>
      </c>
      <c r="BC388" s="30" t="str">
        <f t="shared" si="358"/>
        <v>-0,0170859883350009+0,0633212451409345i</v>
      </c>
      <c r="BD388" s="32">
        <f t="shared" si="359"/>
        <v>-23.663789537275</v>
      </c>
      <c r="BE388" s="31">
        <f t="shared" si="360"/>
        <v>105.100510406208</v>
      </c>
      <c r="BF388" s="30" t="str">
        <f t="shared" si="361"/>
        <v>0,101606730262085-0,0268678090580778i</v>
      </c>
      <c r="BG388" s="68">
        <f t="shared" si="362"/>
        <v>-19.5680255727732</v>
      </c>
      <c r="BH388" s="31">
        <f t="shared" si="363"/>
        <v>-14.8116762212553</v>
      </c>
      <c r="BI388" s="30" t="str">
        <f t="shared" si="369"/>
        <v>0,107852786188159+0,257506814151674i</v>
      </c>
      <c r="BJ388" s="68">
        <f t="shared" si="364"/>
        <v>-11.082285500679</v>
      </c>
      <c r="BK388" s="31">
        <f t="shared" si="370"/>
        <v>67.2743736145993</v>
      </c>
      <c r="BL388" s="32">
        <f t="shared" si="365"/>
        <v>-19.5680255727732</v>
      </c>
      <c r="BM388" s="31">
        <f t="shared" si="366"/>
        <v>-14.8116762212553</v>
      </c>
      <c r="BO388">
        <f t="shared" si="367"/>
        <v>0</v>
      </c>
      <c r="BP388">
        <f t="shared" si="368"/>
        <v>0</v>
      </c>
    </row>
    <row r="389" spans="14:68">
      <c r="N389" s="7">
        <v>71</v>
      </c>
      <c r="O389" s="18">
        <f t="shared" si="371"/>
        <v>51286.1383991365</v>
      </c>
      <c r="P389" s="86" t="str">
        <f t="shared" si="319"/>
        <v>75</v>
      </c>
      <c r="Q389" s="4" t="str">
        <f t="shared" si="320"/>
        <v>1+526,325841710674i</v>
      </c>
      <c r="R389" s="4">
        <f t="shared" si="331"/>
        <v>526.326791691673</v>
      </c>
      <c r="S389" s="4">
        <f t="shared" si="332"/>
        <v>1.56889636536898</v>
      </c>
      <c r="T389" s="4" t="str">
        <f t="shared" si="321"/>
        <v>1+5,05272808042247i</v>
      </c>
      <c r="U389" s="4">
        <f t="shared" si="333"/>
        <v>5.15073403066881</v>
      </c>
      <c r="V389" s="4">
        <f t="shared" si="334"/>
        <v>1.37540840978404</v>
      </c>
      <c r="W389" t="str">
        <f t="shared" si="322"/>
        <v>1-2,65042656004304i</v>
      </c>
      <c r="X389" s="4">
        <f t="shared" si="335"/>
        <v>2.83280090196639</v>
      </c>
      <c r="Y389" s="4">
        <f t="shared" si="336"/>
        <v>-1.21001270673445</v>
      </c>
      <c r="Z389" t="str">
        <f t="shared" si="323"/>
        <v>0,978528424555956+0,831708819672831i</v>
      </c>
      <c r="AA389" s="4">
        <f t="shared" si="337"/>
        <v>1.28423418362288</v>
      </c>
      <c r="AB389" s="4">
        <f t="shared" si="338"/>
        <v>0.704470129708629</v>
      </c>
      <c r="AC389" s="67" t="str">
        <f t="shared" si="339"/>
        <v>-0,828459016181062-1,39097638653009i</v>
      </c>
      <c r="AD389" s="68">
        <f t="shared" si="340"/>
        <v>4.18493473724728</v>
      </c>
      <c r="AE389" s="31">
        <f t="shared" si="341"/>
        <v>-120.777829720055</v>
      </c>
      <c r="AF389" s="32" t="str">
        <f t="shared" si="342"/>
        <v>249,914648392112</v>
      </c>
      <c r="AG389" s="32" t="str">
        <f t="shared" si="324"/>
        <v>1+338,352326814004i</v>
      </c>
      <c r="AH389" s="32">
        <f t="shared" si="343"/>
        <v>338.353804560331</v>
      </c>
      <c r="AI389" s="32">
        <f t="shared" si="344"/>
        <v>1.56784083629252</v>
      </c>
      <c r="AJ389" s="32" t="str">
        <f t="shared" si="325"/>
        <v>1+5,05272808042247i</v>
      </c>
      <c r="AK389" s="32">
        <f t="shared" si="345"/>
        <v>5.15073403066881</v>
      </c>
      <c r="AL389" s="32">
        <f t="shared" si="346"/>
        <v>1.37540840978404</v>
      </c>
      <c r="AM389" s="32" t="str">
        <f t="shared" si="326"/>
        <v>1-0,511323097560812i</v>
      </c>
      <c r="AN389" s="32">
        <f t="shared" si="347"/>
        <v>1.12314349488353</v>
      </c>
      <c r="AO389" s="32">
        <f t="shared" si="348"/>
        <v>-0.472664999605685</v>
      </c>
      <c r="AP389" s="30" t="str">
        <f t="shared" si="349"/>
        <v>3,36217756696832-2,63697344751677i</v>
      </c>
      <c r="AQ389" s="32">
        <f t="shared" si="350"/>
        <v>12.6145003804493</v>
      </c>
      <c r="AR389" s="31">
        <f t="shared" si="351"/>
        <v>-38.1072754813554</v>
      </c>
      <c r="AS389" t="str">
        <f t="shared" si="327"/>
        <v>-0,000100699300699301</v>
      </c>
      <c r="AT389" t="str">
        <f t="shared" si="328"/>
        <v>0,072407397938197i</v>
      </c>
      <c r="AU389">
        <f t="shared" si="352"/>
        <v>0.072407397938197</v>
      </c>
      <c r="AV389">
        <f t="shared" si="353"/>
        <v>1.5707963267949</v>
      </c>
      <c r="AW389" t="str">
        <f t="shared" si="329"/>
        <v>1+3,70712596611017i</v>
      </c>
      <c r="AX389">
        <f t="shared" si="354"/>
        <v>3.83963317630842</v>
      </c>
      <c r="AY389">
        <f t="shared" si="355"/>
        <v>1.3073168236294</v>
      </c>
      <c r="AZ389" t="str">
        <f t="shared" si="330"/>
        <v>1+177,232171188288i</v>
      </c>
      <c r="BA389">
        <f t="shared" si="356"/>
        <v>177.234992324074</v>
      </c>
      <c r="BB389">
        <f t="shared" si="357"/>
        <v>1.56515407019111</v>
      </c>
      <c r="BC389" s="30" t="str">
        <f t="shared" si="358"/>
        <v>-0,0163691530389329+0,0620732444858532i</v>
      </c>
      <c r="BD389" s="32">
        <f t="shared" si="359"/>
        <v>-23.8499350179646</v>
      </c>
      <c r="BE389" s="31">
        <f t="shared" si="360"/>
        <v>104.77298602926</v>
      </c>
      <c r="BF389" s="30" t="str">
        <f t="shared" si="361"/>
        <v>0,0999035897374825-0,0286560337132635i</v>
      </c>
      <c r="BG389" s="68">
        <f t="shared" si="362"/>
        <v>-19.6650002807173</v>
      </c>
      <c r="BH389" s="31">
        <f t="shared" si="363"/>
        <v>-16.004843690795</v>
      </c>
      <c r="BI389" s="30" t="str">
        <f t="shared" si="369"/>
        <v>0,10864949837264+0,25186629204128i</v>
      </c>
      <c r="BJ389" s="68">
        <f t="shared" si="364"/>
        <v>-11.2354346375152</v>
      </c>
      <c r="BK389" s="31">
        <f t="shared" si="370"/>
        <v>66.6657105479045</v>
      </c>
      <c r="BL389" s="32">
        <f t="shared" si="365"/>
        <v>-19.6650002807173</v>
      </c>
      <c r="BM389" s="31">
        <f t="shared" si="366"/>
        <v>-16.004843690795</v>
      </c>
      <c r="BO389">
        <f t="shared" si="367"/>
        <v>0</v>
      </c>
      <c r="BP389">
        <f t="shared" si="368"/>
        <v>0</v>
      </c>
    </row>
    <row r="390" spans="14:68">
      <c r="N390" s="7">
        <v>72</v>
      </c>
      <c r="O390" s="18">
        <f t="shared" si="371"/>
        <v>52480.7460249773</v>
      </c>
      <c r="P390" s="86" t="str">
        <f t="shared" si="319"/>
        <v>75</v>
      </c>
      <c r="Q390" s="4" t="str">
        <f t="shared" si="320"/>
        <v>1+538,585545478803i</v>
      </c>
      <c r="R390" s="4">
        <f t="shared" si="331"/>
        <v>538.586473835632</v>
      </c>
      <c r="S390" s="4">
        <f t="shared" si="332"/>
        <v>1.56893961367055</v>
      </c>
      <c r="T390" s="4" t="str">
        <f t="shared" si="321"/>
        <v>1+5,17042123659651i</v>
      </c>
      <c r="U390" s="4">
        <f t="shared" si="333"/>
        <v>5.26623734404823</v>
      </c>
      <c r="V390" s="4">
        <f t="shared" si="334"/>
        <v>1.37974734353364</v>
      </c>
      <c r="W390" t="str">
        <f t="shared" si="322"/>
        <v>1-2,71216292544683i</v>
      </c>
      <c r="X390" s="4">
        <f t="shared" si="335"/>
        <v>2.89064486476086</v>
      </c>
      <c r="Y390" s="4">
        <f t="shared" si="336"/>
        <v>-1.21755206499886</v>
      </c>
      <c r="Z390" t="str">
        <f t="shared" si="323"/>
        <v>0,977516500380913+0,851081806789307i</v>
      </c>
      <c r="AA390" s="4">
        <f t="shared" si="337"/>
        <v>1.29610136577534</v>
      </c>
      <c r="AB390" s="4">
        <f t="shared" si="338"/>
        <v>0.716365076731163</v>
      </c>
      <c r="AC390" s="67" t="str">
        <f t="shared" si="339"/>
        <v>-0,858100482797-1,39235955367226i</v>
      </c>
      <c r="AD390" s="68">
        <f t="shared" si="340"/>
        <v>4.27324040485013</v>
      </c>
      <c r="AE390" s="31">
        <f t="shared" si="341"/>
        <v>-121.645208744478</v>
      </c>
      <c r="AF390" s="32" t="str">
        <f t="shared" si="342"/>
        <v>249,914648392112</v>
      </c>
      <c r="AG390" s="32" t="str">
        <f t="shared" si="324"/>
        <v>1+346,233564950659i</v>
      </c>
      <c r="AH390" s="32">
        <f t="shared" si="343"/>
        <v>346.235009059515</v>
      </c>
      <c r="AI390" s="32">
        <f t="shared" si="344"/>
        <v>1.5679081110913</v>
      </c>
      <c r="AJ390" s="32" t="str">
        <f t="shared" si="325"/>
        <v>1+5,17042123659651i</v>
      </c>
      <c r="AK390" s="32">
        <f t="shared" si="345"/>
        <v>5.26623734404823</v>
      </c>
      <c r="AL390" s="32">
        <f t="shared" si="346"/>
        <v>1.37974734353364</v>
      </c>
      <c r="AM390" s="32" t="str">
        <f t="shared" si="326"/>
        <v>1-0,523233342525268i</v>
      </c>
      <c r="AN390" s="32">
        <f t="shared" si="347"/>
        <v>1.12861558146703</v>
      </c>
      <c r="AO390" s="32">
        <f t="shared" si="348"/>
        <v>-0.482061059932504</v>
      </c>
      <c r="AP390" s="30" t="str">
        <f t="shared" si="349"/>
        <v>3,36208063847506-2,66483655191712i</v>
      </c>
      <c r="AQ390" s="32">
        <f t="shared" si="350"/>
        <v>12.6493440759302</v>
      </c>
      <c r="AR390" s="31">
        <f t="shared" si="351"/>
        <v>-38.4008820527319</v>
      </c>
      <c r="AS390" t="str">
        <f t="shared" si="327"/>
        <v>-0,000100699300699301</v>
      </c>
      <c r="AT390" t="str">
        <f t="shared" si="328"/>
        <v>0,074093982899441i</v>
      </c>
      <c r="AU390">
        <f t="shared" si="352"/>
        <v>0.074093982899441</v>
      </c>
      <c r="AV390">
        <f t="shared" si="353"/>
        <v>1.5707963267949</v>
      </c>
      <c r="AW390" t="str">
        <f t="shared" si="329"/>
        <v>1+3,79347602262256i</v>
      </c>
      <c r="AX390">
        <f t="shared" si="354"/>
        <v>3.92306771980962</v>
      </c>
      <c r="AY390">
        <f t="shared" si="355"/>
        <v>1.31304939491924</v>
      </c>
      <c r="AZ390" t="str">
        <f t="shared" si="330"/>
        <v>1+181,360438783678i</v>
      </c>
      <c r="BA390">
        <f t="shared" si="356"/>
        <v>181.363195703561</v>
      </c>
      <c r="BB390">
        <f t="shared" si="357"/>
        <v>1.56528250099808</v>
      </c>
      <c r="BC390" s="30" t="str">
        <f t="shared" si="358"/>
        <v>-0,0156802892660526+0,0608418766404988i</v>
      </c>
      <c r="BD390" s="32">
        <f t="shared" si="359"/>
        <v>-24.0366626291239</v>
      </c>
      <c r="BE390" s="31">
        <f t="shared" si="360"/>
        <v>104.451892431793</v>
      </c>
      <c r="BF390" s="30" t="str">
        <f t="shared" si="361"/>
        <v>0,098169031993344-0,0303758431555546i</v>
      </c>
      <c r="BG390" s="68">
        <f t="shared" si="362"/>
        <v>-19.7634222242738</v>
      </c>
      <c r="BH390" s="31">
        <f t="shared" si="363"/>
        <v>-17.1933163126853</v>
      </c>
      <c r="BI390" s="30" t="str">
        <f t="shared" si="369"/>
        <v>0,10941525981175+0,24634070344232i</v>
      </c>
      <c r="BJ390" s="68">
        <f t="shared" si="364"/>
        <v>-11.3873185531937</v>
      </c>
      <c r="BK390" s="31">
        <f t="shared" si="370"/>
        <v>66.0510103790609</v>
      </c>
      <c r="BL390" s="32">
        <f t="shared" si="365"/>
        <v>-19.7634222242738</v>
      </c>
      <c r="BM390" s="31">
        <f t="shared" si="366"/>
        <v>-17.1933163126853</v>
      </c>
      <c r="BO390">
        <f t="shared" si="367"/>
        <v>0</v>
      </c>
      <c r="BP390">
        <f t="shared" si="368"/>
        <v>0</v>
      </c>
    </row>
    <row r="391" spans="14:68">
      <c r="N391" s="7">
        <v>73</v>
      </c>
      <c r="O391" s="18">
        <f t="shared" si="371"/>
        <v>53703.1796370254</v>
      </c>
      <c r="P391" s="86" t="str">
        <f t="shared" si="319"/>
        <v>75</v>
      </c>
      <c r="Q391" s="4" t="str">
        <f t="shared" si="320"/>
        <v>1+551,130814432167i</v>
      </c>
      <c r="R391" s="4">
        <f t="shared" si="331"/>
        <v>551.13172165705</v>
      </c>
      <c r="S391" s="4">
        <f t="shared" si="332"/>
        <v>1.56898187752731</v>
      </c>
      <c r="T391" s="4" t="str">
        <f t="shared" si="321"/>
        <v>1+5,29085581854881i</v>
      </c>
      <c r="U391" s="4">
        <f t="shared" si="333"/>
        <v>5.38452925450979</v>
      </c>
      <c r="V391" s="4">
        <f t="shared" si="334"/>
        <v>1.383994559509</v>
      </c>
      <c r="W391" t="str">
        <f t="shared" si="322"/>
        <v>1-2,77533731553341i</v>
      </c>
      <c r="X391" s="4">
        <f t="shared" si="335"/>
        <v>2.94999952796474</v>
      </c>
      <c r="Y391" s="4">
        <f t="shared" si="336"/>
        <v>-1.22496053190239</v>
      </c>
      <c r="Z391" t="str">
        <f t="shared" si="323"/>
        <v>0,976456885688762+0,870906048745142i</v>
      </c>
      <c r="AA391" s="4">
        <f t="shared" si="337"/>
        <v>1.30841331212651</v>
      </c>
      <c r="AB391" s="4">
        <f t="shared" si="338"/>
        <v>0.728324265283955</v>
      </c>
      <c r="AC391" s="67" t="str">
        <f t="shared" si="339"/>
        <v>-0,888000590645946-1,39313214507139i</v>
      </c>
      <c r="AD391" s="68">
        <f t="shared" si="340"/>
        <v>4.36061176140926</v>
      </c>
      <c r="AE391" s="31">
        <f t="shared" si="341"/>
        <v>-122.513967651738</v>
      </c>
      <c r="AF391" s="32" t="str">
        <f t="shared" si="342"/>
        <v>249,914648392112</v>
      </c>
      <c r="AG391" s="32" t="str">
        <f t="shared" si="324"/>
        <v>1+354,298380706393i</v>
      </c>
      <c r="AH391" s="32">
        <f t="shared" si="343"/>
        <v>354.29979194345</v>
      </c>
      <c r="AI391" s="32">
        <f t="shared" si="344"/>
        <v>1.56797385455397</v>
      </c>
      <c r="AJ391" s="32" t="str">
        <f t="shared" si="325"/>
        <v>1+5,29085581854881i</v>
      </c>
      <c r="AK391" s="32">
        <f t="shared" si="345"/>
        <v>5.38452925450979</v>
      </c>
      <c r="AL391" s="32">
        <f t="shared" si="346"/>
        <v>1.383994559509</v>
      </c>
      <c r="AM391" s="32" t="str">
        <f t="shared" si="326"/>
        <v>1-0,535421012733743i</v>
      </c>
      <c r="AN391" s="32">
        <f t="shared" si="347"/>
        <v>1.13431726641043</v>
      </c>
      <c r="AO391" s="32">
        <f t="shared" si="348"/>
        <v>-0.491581273030688</v>
      </c>
      <c r="AP391" s="30" t="str">
        <f t="shared" si="349"/>
        <v>3,36198807241151-2,69411256272435i</v>
      </c>
      <c r="AQ391" s="32">
        <f t="shared" si="350"/>
        <v>12.6860619775916</v>
      </c>
      <c r="AR391" s="31">
        <f t="shared" si="351"/>
        <v>-38.7067693561954</v>
      </c>
      <c r="AS391" t="str">
        <f t="shared" si="327"/>
        <v>-0,000100699300699301</v>
      </c>
      <c r="AT391" t="str">
        <f t="shared" si="328"/>
        <v>0,0758198534711681i</v>
      </c>
      <c r="AU391">
        <f t="shared" si="352"/>
        <v>0.0758198534711681</v>
      </c>
      <c r="AV391">
        <f t="shared" si="353"/>
        <v>1.5707963267949</v>
      </c>
      <c r="AW391" t="str">
        <f t="shared" si="329"/>
        <v>1+3,88183743033474i</v>
      </c>
      <c r="AX391">
        <f t="shared" si="354"/>
        <v>4.0085735412423</v>
      </c>
      <c r="AY391">
        <f t="shared" si="355"/>
        <v>1.31866826836857</v>
      </c>
      <c r="AZ391" t="str">
        <f t="shared" si="330"/>
        <v>1+185,584866084301i</v>
      </c>
      <c r="BA391">
        <f t="shared" si="356"/>
        <v>185.587560249948</v>
      </c>
      <c r="BB391">
        <f t="shared" si="357"/>
        <v>1.56540800853873</v>
      </c>
      <c r="BC391" s="30" t="str">
        <f t="shared" si="358"/>
        <v>-0,0150184796001047+0,0596274352100004i</v>
      </c>
      <c r="BD391" s="32">
        <f t="shared" si="359"/>
        <v>-24.2239495836958</v>
      </c>
      <c r="BE391" s="31">
        <f t="shared" si="360"/>
        <v>104.137145749905</v>
      </c>
      <c r="BF391" s="30" t="str">
        <f t="shared" si="361"/>
        <v>0,0964053154747103-0,0320264709841785i</v>
      </c>
      <c r="BG391" s="68">
        <f t="shared" si="362"/>
        <v>-19.8633378222866</v>
      </c>
      <c r="BH391" s="31">
        <f t="shared" si="363"/>
        <v>-18.3768219018331</v>
      </c>
      <c r="BI391" s="30" t="str">
        <f t="shared" si="369"/>
        <v>0,110151073000987+0,240928200528173i</v>
      </c>
      <c r="BJ391" s="68">
        <f t="shared" si="364"/>
        <v>-11.5378876061042</v>
      </c>
      <c r="BK391" s="31">
        <f t="shared" si="370"/>
        <v>65.4303763937094</v>
      </c>
      <c r="BL391" s="32">
        <f t="shared" si="365"/>
        <v>-19.8633378222866</v>
      </c>
      <c r="BM391" s="31">
        <f t="shared" si="366"/>
        <v>-18.3768219018331</v>
      </c>
      <c r="BO391">
        <f t="shared" si="367"/>
        <v>0</v>
      </c>
      <c r="BP391">
        <f t="shared" si="368"/>
        <v>0</v>
      </c>
    </row>
    <row r="392" spans="14:68">
      <c r="N392" s="7">
        <v>74</v>
      </c>
      <c r="O392" s="18">
        <f t="shared" si="371"/>
        <v>54954.0873857625</v>
      </c>
      <c r="P392" s="86" t="str">
        <f t="shared" si="319"/>
        <v>75</v>
      </c>
      <c r="Q392" s="4" t="str">
        <f t="shared" si="320"/>
        <v>1+563,96830023842i</v>
      </c>
      <c r="R392" s="4">
        <f t="shared" si="331"/>
        <v>563.969186812376</v>
      </c>
      <c r="S392" s="4">
        <f t="shared" si="332"/>
        <v>1.5690231793475</v>
      </c>
      <c r="T392" s="4" t="str">
        <f t="shared" si="321"/>
        <v>1+5,41409568228884i</v>
      </c>
      <c r="U392" s="4">
        <f t="shared" si="333"/>
        <v>5.5056727161155</v>
      </c>
      <c r="V392" s="4">
        <f t="shared" si="334"/>
        <v>1.38815169642456</v>
      </c>
      <c r="W392" t="str">
        <f t="shared" si="322"/>
        <v>1-2,83998322620062i</v>
      </c>
      <c r="X392" s="4">
        <f t="shared" si="335"/>
        <v>3.01089766101422</v>
      </c>
      <c r="Y392" s="4">
        <f t="shared" si="336"/>
        <v>-1.23223878160441</v>
      </c>
      <c r="Z392" t="str">
        <f t="shared" si="323"/>
        <v>0,975347332894677+0,891192056615823i</v>
      </c>
      <c r="AA392" s="4">
        <f t="shared" si="337"/>
        <v>1.32118344735313</v>
      </c>
      <c r="AB392" s="4">
        <f t="shared" si="338"/>
        <v>0.740342418307206</v>
      </c>
      <c r="AC392" s="67" t="str">
        <f t="shared" si="339"/>
        <v>-0,918130509969949-1,39327768212968i</v>
      </c>
      <c r="AD392" s="68">
        <f t="shared" si="340"/>
        <v>4.44698297254687</v>
      </c>
      <c r="AE392" s="31">
        <f t="shared" si="341"/>
        <v>-123.383750107544</v>
      </c>
      <c r="AF392" s="32" t="str">
        <f t="shared" si="342"/>
        <v>249,914648392112</v>
      </c>
      <c r="AG392" s="32" t="str">
        <f t="shared" si="324"/>
        <v>1+362,55105015327i</v>
      </c>
      <c r="AH392" s="32">
        <f t="shared" si="343"/>
        <v>362.552429266774</v>
      </c>
      <c r="AI392" s="32">
        <f t="shared" si="344"/>
        <v>1.5680381015363</v>
      </c>
      <c r="AJ392" s="32" t="str">
        <f t="shared" si="325"/>
        <v>1+5,41409568228884i</v>
      </c>
      <c r="AK392" s="32">
        <f t="shared" si="345"/>
        <v>5.5056727161155</v>
      </c>
      <c r="AL392" s="32">
        <f t="shared" si="346"/>
        <v>1.38815169642456</v>
      </c>
      <c r="AM392" s="32" t="str">
        <f t="shared" si="326"/>
        <v>1-0,547892570250303i</v>
      </c>
      <c r="AN392" s="32">
        <f t="shared" si="347"/>
        <v>1.14025710632974</v>
      </c>
      <c r="AO392" s="32">
        <f t="shared" si="348"/>
        <v>-0.501223782932219</v>
      </c>
      <c r="AP392" s="30" t="str">
        <f t="shared" si="349"/>
        <v>3,36189967244221-2,72481700414928i</v>
      </c>
      <c r="AQ392" s="32">
        <f t="shared" si="350"/>
        <v>12.7246814355155</v>
      </c>
      <c r="AR392" s="31">
        <f t="shared" si="351"/>
        <v>-39.0247391582809</v>
      </c>
      <c r="AS392" t="str">
        <f t="shared" si="327"/>
        <v>-0,000100699300699301</v>
      </c>
      <c r="AT392" t="str">
        <f t="shared" si="328"/>
        <v>0,0775859247327998i</v>
      </c>
      <c r="AU392">
        <f t="shared" si="352"/>
        <v>0.0775859247327998</v>
      </c>
      <c r="AV392">
        <f t="shared" si="353"/>
        <v>1.5707963267949</v>
      </c>
      <c r="AW392" t="str">
        <f t="shared" si="329"/>
        <v>1+3,97225703963466i</v>
      </c>
      <c r="AX392">
        <f t="shared" si="354"/>
        <v>4.09619652713674</v>
      </c>
      <c r="AY392">
        <f t="shared" si="355"/>
        <v>1.32417500340649</v>
      </c>
      <c r="AZ392" t="str">
        <f t="shared" si="330"/>
        <v>1+189,907692937427i</v>
      </c>
      <c r="BA392">
        <f t="shared" si="356"/>
        <v>189.910325777236</v>
      </c>
      <c r="BB392">
        <f t="shared" si="357"/>
        <v>1.565530659343</v>
      </c>
      <c r="BC392" s="30" t="str">
        <f t="shared" si="358"/>
        <v>-0,0143828221436598+0,0584301733280662i</v>
      </c>
      <c r="BD392" s="32">
        <f t="shared" si="359"/>
        <v>-24.4117738479882</v>
      </c>
      <c r="BE392" s="31">
        <f t="shared" si="360"/>
        <v>103.828660446774</v>
      </c>
      <c r="BF392" s="30" t="str">
        <f t="shared" si="361"/>
        <v>0,094614764290529-0,0336072597365282i</v>
      </c>
      <c r="BG392" s="68">
        <f t="shared" si="362"/>
        <v>-19.9647908754413</v>
      </c>
      <c r="BH392" s="31">
        <f t="shared" si="363"/>
        <v>-19.5550896607705</v>
      </c>
      <c r="BI392" s="30" t="str">
        <f t="shared" si="369"/>
        <v>0,11085792478614+0,235626938917066i</v>
      </c>
      <c r="BJ392" s="68">
        <f t="shared" si="364"/>
        <v>-11.6870924124728</v>
      </c>
      <c r="BK392" s="31">
        <f t="shared" si="370"/>
        <v>64.8039212884928</v>
      </c>
      <c r="BL392" s="32">
        <f t="shared" si="365"/>
        <v>-19.9647908754413</v>
      </c>
      <c r="BM392" s="31">
        <f t="shared" si="366"/>
        <v>-19.5550896607705</v>
      </c>
      <c r="BO392">
        <f t="shared" si="367"/>
        <v>0</v>
      </c>
      <c r="BP392">
        <f t="shared" si="368"/>
        <v>0</v>
      </c>
    </row>
    <row r="393" spans="14:68">
      <c r="N393" s="7">
        <v>75</v>
      </c>
      <c r="O393" s="18">
        <f t="shared" si="371"/>
        <v>56234.132519035</v>
      </c>
      <c r="P393" s="86" t="str">
        <f t="shared" si="319"/>
        <v>75</v>
      </c>
      <c r="Q393" s="4" t="str">
        <f t="shared" si="320"/>
        <v>1+577,104809502463i</v>
      </c>
      <c r="R393" s="4">
        <f t="shared" si="331"/>
        <v>577.105675895563</v>
      </c>
      <c r="S393" s="4">
        <f t="shared" si="332"/>
        <v>1.56906354102932</v>
      </c>
      <c r="T393" s="4" t="str">
        <f t="shared" si="321"/>
        <v>1+5,54020617122366i</v>
      </c>
      <c r="U393" s="4">
        <f t="shared" si="333"/>
        <v>5.629732180101</v>
      </c>
      <c r="V393" s="4">
        <f t="shared" si="334"/>
        <v>1.39222038342679</v>
      </c>
      <c r="W393" t="str">
        <f t="shared" si="322"/>
        <v>1-2,90613493356598i</v>
      </c>
      <c r="X393" s="4">
        <f t="shared" si="335"/>
        <v>3.0733727811791</v>
      </c>
      <c r="Y393" s="4">
        <f t="shared" si="336"/>
        <v>-1.23938758777368</v>
      </c>
      <c r="Z393" t="str">
        <f t="shared" si="323"/>
        <v>0,974185488488421+0,911950586311244i</v>
      </c>
      <c r="AA393" s="4">
        <f t="shared" si="337"/>
        <v>1.33442543360611</v>
      </c>
      <c r="AB393" s="4">
        <f t="shared" si="338"/>
        <v>0.752414153394426</v>
      </c>
      <c r="AC393" s="67" t="str">
        <f t="shared" si="339"/>
        <v>-0,948460450871589-1,39278127741607i</v>
      </c>
      <c r="AD393" s="68">
        <f t="shared" si="340"/>
        <v>4.53229164972967</v>
      </c>
      <c r="AE393" s="31">
        <f t="shared" si="341"/>
        <v>-124.254199962133</v>
      </c>
      <c r="AF393" s="32" t="str">
        <f t="shared" si="342"/>
        <v>249,914648392112</v>
      </c>
      <c r="AG393" s="32" t="str">
        <f t="shared" si="324"/>
        <v>1+370,995948965869i</v>
      </c>
      <c r="AH393" s="32">
        <f t="shared" si="343"/>
        <v>370.997296687032</v>
      </c>
      <c r="AI393" s="32">
        <f t="shared" si="344"/>
        <v>1.56810088610077</v>
      </c>
      <c r="AJ393" s="32" t="str">
        <f t="shared" si="325"/>
        <v>1+5,54020617122366i</v>
      </c>
      <c r="AK393" s="32">
        <f t="shared" si="345"/>
        <v>5.629732180101</v>
      </c>
      <c r="AL393" s="32">
        <f t="shared" si="346"/>
        <v>1.39222038342679</v>
      </c>
      <c r="AM393" s="32" t="str">
        <f t="shared" si="326"/>
        <v>1-0,560654627659825i</v>
      </c>
      <c r="AN393" s="32">
        <f t="shared" si="347"/>
        <v>1.14644389811119</v>
      </c>
      <c r="AO393" s="32">
        <f t="shared" si="348"/>
        <v>-0.510986529108574</v>
      </c>
      <c r="AP393" s="30" t="str">
        <f t="shared" si="349"/>
        <v>3,36181525106776-2,75696615766325i</v>
      </c>
      <c r="AQ393" s="32">
        <f t="shared" si="350"/>
        <v>12.7652301876303</v>
      </c>
      <c r="AR393" s="31">
        <f t="shared" si="351"/>
        <v>-39.3545820078186</v>
      </c>
      <c r="AS393" t="str">
        <f t="shared" si="327"/>
        <v>-0,000100699300699301</v>
      </c>
      <c r="AT393" t="str">
        <f t="shared" si="328"/>
        <v>0,0793931330786962i</v>
      </c>
      <c r="AU393">
        <f t="shared" si="352"/>
        <v>0.0793931330786962</v>
      </c>
      <c r="AV393">
        <f t="shared" si="353"/>
        <v>1.5707963267949</v>
      </c>
      <c r="AW393" t="str">
        <f t="shared" si="329"/>
        <v>1+4,06478279219604i</v>
      </c>
      <c r="AX393">
        <f t="shared" si="354"/>
        <v>4.18598365354346</v>
      </c>
      <c r="AY393">
        <f t="shared" si="355"/>
        <v>1.32957118331642</v>
      </c>
      <c r="AZ393" t="str">
        <f t="shared" si="330"/>
        <v>1+194,331211363074i</v>
      </c>
      <c r="BA393">
        <f t="shared" si="356"/>
        <v>194.333784272935</v>
      </c>
      <c r="BB393">
        <f t="shared" si="357"/>
        <v>1.5656505184272</v>
      </c>
      <c r="BC393" s="30" t="str">
        <f t="shared" si="358"/>
        <v>-0,013772431594419+0,0572503058036712i</v>
      </c>
      <c r="BD393" s="32">
        <f t="shared" si="359"/>
        <v>-24.6001141283832</v>
      </c>
      <c r="BE393" s="31">
        <f t="shared" si="360"/>
        <v>103.526349532102</v>
      </c>
      <c r="BF393" s="30" t="str">
        <f t="shared" si="361"/>
        <v>0,0927997607293386-0,035117665985886i</v>
      </c>
      <c r="BG393" s="68">
        <f t="shared" si="362"/>
        <v>-20.0678224786535</v>
      </c>
      <c r="BH393" s="31">
        <f t="shared" si="363"/>
        <v>-20.7278504300308</v>
      </c>
      <c r="BI393" s="30" t="str">
        <f t="shared" si="369"/>
        <v>0,111536785038188+0,23043507899362i</v>
      </c>
      <c r="BJ393" s="68">
        <f t="shared" si="364"/>
        <v>-11.8348839407529</v>
      </c>
      <c r="BK393" s="31">
        <f t="shared" si="370"/>
        <v>64.1717675242838</v>
      </c>
      <c r="BL393" s="32">
        <f t="shared" si="365"/>
        <v>-20.0678224786535</v>
      </c>
      <c r="BM393" s="31">
        <f t="shared" si="366"/>
        <v>-20.7278504300308</v>
      </c>
      <c r="BO393">
        <f t="shared" si="367"/>
        <v>0</v>
      </c>
      <c r="BP393">
        <f t="shared" si="368"/>
        <v>0</v>
      </c>
    </row>
    <row r="394" spans="14:68">
      <c r="N394" s="7">
        <v>76</v>
      </c>
      <c r="O394" s="18">
        <f t="shared" si="371"/>
        <v>57543.9937337157</v>
      </c>
      <c r="P394" s="86" t="str">
        <f t="shared" si="319"/>
        <v>75</v>
      </c>
      <c r="Q394" s="4" t="str">
        <f t="shared" si="320"/>
        <v>1+590,547307375391i</v>
      </c>
      <c r="R394" s="4">
        <f t="shared" si="331"/>
        <v>590.548154047004</v>
      </c>
      <c r="S394" s="4">
        <f t="shared" si="332"/>
        <v>1.56910298397256</v>
      </c>
      <c r="T394" s="4" t="str">
        <f t="shared" si="321"/>
        <v>1+5,66925415080376i</v>
      </c>
      <c r="U394" s="4">
        <f t="shared" si="333"/>
        <v>5.75677362994287</v>
      </c>
      <c r="V394" s="4">
        <f t="shared" si="334"/>
        <v>1.39620223869115</v>
      </c>
      <c r="W394" t="str">
        <f t="shared" si="322"/>
        <v>1-2,97382751214036i</v>
      </c>
      <c r="X394" s="4">
        <f t="shared" si="335"/>
        <v>3.1374591745492</v>
      </c>
      <c r="Y394" s="4">
        <f t="shared" si="336"/>
        <v>-1.24640781712758</v>
      </c>
      <c r="Z394" t="str">
        <f t="shared" si="323"/>
        <v>0,972968888042237+0,933192644278622i</v>
      </c>
      <c r="AA394" s="4">
        <f t="shared" si="337"/>
        <v>1.34815316950036</v>
      </c>
      <c r="AB394" s="4">
        <f t="shared" si="338"/>
        <v>0.764533996740816</v>
      </c>
      <c r="AC394" s="67" t="str">
        <f t="shared" si="339"/>
        <v>-0,978959773873643-1,39162971012446i</v>
      </c>
      <c r="AD394" s="68">
        <f t="shared" si="340"/>
        <v>4.61647891338189</v>
      </c>
      <c r="AE394" s="31">
        <f t="shared" si="341"/>
        <v>-125.124961760333</v>
      </c>
      <c r="AF394" s="32" t="str">
        <f t="shared" si="342"/>
        <v>249,914648392112</v>
      </c>
      <c r="AG394" s="32" t="str">
        <f t="shared" si="324"/>
        <v>1+379,637554741323i</v>
      </c>
      <c r="AH394" s="32">
        <f t="shared" si="343"/>
        <v>379.638871784715</v>
      </c>
      <c r="AI394" s="32">
        <f t="shared" si="344"/>
        <v>1.56816224153461</v>
      </c>
      <c r="AJ394" s="32" t="str">
        <f t="shared" si="325"/>
        <v>1+5,66925415080376i</v>
      </c>
      <c r="AK394" s="32">
        <f t="shared" si="345"/>
        <v>5.75677362994287</v>
      </c>
      <c r="AL394" s="32">
        <f t="shared" si="346"/>
        <v>1.39620223869115</v>
      </c>
      <c r="AM394" s="32" t="str">
        <f t="shared" si="326"/>
        <v>1-0,573713951574075i</v>
      </c>
      <c r="AN394" s="32">
        <f t="shared" si="347"/>
        <v>1.15288668056784</v>
      </c>
      <c r="AO394" s="32">
        <f t="shared" si="348"/>
        <v>-0.520867243175833</v>
      </c>
      <c r="AP394" s="30" t="str">
        <f t="shared" si="349"/>
        <v>3,36173462922708-2,79057707063831i</v>
      </c>
      <c r="AQ394" s="32">
        <f t="shared" si="350"/>
        <v>12.8077362479454</v>
      </c>
      <c r="AR394" s="31">
        <f t="shared" si="351"/>
        <v>-39.696077128577</v>
      </c>
      <c r="AS394" t="str">
        <f t="shared" si="327"/>
        <v>-0,000100699300699301</v>
      </c>
      <c r="AT394" t="str">
        <f t="shared" si="328"/>
        <v>0,081242436714643i</v>
      </c>
      <c r="AU394">
        <f t="shared" si="352"/>
        <v>0.081242436714643</v>
      </c>
      <c r="AV394">
        <f t="shared" si="353"/>
        <v>1.5707963267949</v>
      </c>
      <c r="AW394" t="str">
        <f t="shared" si="329"/>
        <v>1+4,15946374639761i</v>
      </c>
      <c r="AX394">
        <f t="shared" si="354"/>
        <v>4.27798301277554</v>
      </c>
      <c r="AY394">
        <f t="shared" si="355"/>
        <v>1.33485841164492</v>
      </c>
      <c r="AZ394" t="str">
        <f t="shared" si="330"/>
        <v>1+198,857766769264i</v>
      </c>
      <c r="BA394">
        <f t="shared" si="356"/>
        <v>198.860281113296</v>
      </c>
      <c r="BB394">
        <f t="shared" si="357"/>
        <v>1.56576764932842</v>
      </c>
      <c r="BC394" s="30" t="str">
        <f t="shared" si="358"/>
        <v>-0,0131864401714694+0,0560880112259003i</v>
      </c>
      <c r="BD394" s="32">
        <f t="shared" si="359"/>
        <v>-24.7889498572151</v>
      </c>
      <c r="BE394" s="31">
        <f t="shared" si="360"/>
        <v>103.230124769848</v>
      </c>
      <c r="BF394" s="30" t="str">
        <f t="shared" si="361"/>
        <v>0,0909627372922171-0,0365572648733342i</v>
      </c>
      <c r="BG394" s="68">
        <f t="shared" si="362"/>
        <v>-20.1724709438332</v>
      </c>
      <c r="BH394" s="31">
        <f t="shared" si="363"/>
        <v>-21.8948369904848</v>
      </c>
      <c r="BI394" s="30" t="str">
        <f t="shared" si="369"/>
        <v>0,112188605504042+0,225350787208433i</v>
      </c>
      <c r="BJ394" s="68">
        <f t="shared" si="364"/>
        <v>-11.9812136092697</v>
      </c>
      <c r="BK394" s="31">
        <f t="shared" si="370"/>
        <v>63.5340476412707</v>
      </c>
      <c r="BL394" s="32">
        <f t="shared" si="365"/>
        <v>-20.1724709438332</v>
      </c>
      <c r="BM394" s="31">
        <f t="shared" si="366"/>
        <v>-21.8948369904848</v>
      </c>
      <c r="BO394">
        <f t="shared" si="367"/>
        <v>0</v>
      </c>
      <c r="BP394">
        <f t="shared" si="368"/>
        <v>0</v>
      </c>
    </row>
    <row r="395" spans="14:68">
      <c r="N395" s="7">
        <v>77</v>
      </c>
      <c r="O395" s="18">
        <f t="shared" si="371"/>
        <v>58884.3655355589</v>
      </c>
      <c r="P395" s="86" t="str">
        <f t="shared" si="319"/>
        <v>75</v>
      </c>
      <c r="Q395" s="4" t="str">
        <f t="shared" si="320"/>
        <v>1+604,302921247506i</v>
      </c>
      <c r="R395" s="4">
        <f t="shared" si="331"/>
        <v>604.303748646547</v>
      </c>
      <c r="S395" s="4">
        <f t="shared" si="332"/>
        <v>1.56914152908988</v>
      </c>
      <c r="T395" s="4" t="str">
        <f t="shared" si="321"/>
        <v>1+5,80130804397606i</v>
      </c>
      <c r="U395" s="4">
        <f t="shared" si="333"/>
        <v>5.88686461718811</v>
      </c>
      <c r="V395" s="4">
        <f t="shared" si="334"/>
        <v>1.40009886813595</v>
      </c>
      <c r="W395" t="str">
        <f t="shared" si="322"/>
        <v>1-3,04309685342494i</v>
      </c>
      <c r="X395" s="4">
        <f t="shared" si="335"/>
        <v>3.20319191734195</v>
      </c>
      <c r="Y395" s="4">
        <f t="shared" si="336"/>
        <v>-1.25330042311846</v>
      </c>
      <c r="Z395" t="str">
        <f t="shared" si="323"/>
        <v>0,971694950983467+0,95492949333826i</v>
      </c>
      <c r="AA395" s="4">
        <f t="shared" si="337"/>
        <v>1.36238078928544</v>
      </c>
      <c r="AB395" s="4">
        <f t="shared" si="338"/>
        <v>0.776696397711731</v>
      </c>
      <c r="AC395" s="67" t="str">
        <f t="shared" si="339"/>
        <v>-1,00959710767778-1,38981149217739i</v>
      </c>
      <c r="AD395" s="68">
        <f t="shared" si="340"/>
        <v>4.69948944446292</v>
      </c>
      <c r="AE395" s="31">
        <f t="shared" si="341"/>
        <v>-125.995681288866</v>
      </c>
      <c r="AF395" s="32" t="str">
        <f t="shared" si="342"/>
        <v>249,914648392112</v>
      </c>
      <c r="AG395" s="32" t="str">
        <f t="shared" si="324"/>
        <v>1+388,480449373397i</v>
      </c>
      <c r="AH395" s="32">
        <f t="shared" si="343"/>
        <v>388.481736437321</v>
      </c>
      <c r="AI395" s="32">
        <f t="shared" si="344"/>
        <v>1.56822220036742</v>
      </c>
      <c r="AJ395" s="32" t="str">
        <f t="shared" si="325"/>
        <v>1+5,80130804397606i</v>
      </c>
      <c r="AK395" s="32">
        <f t="shared" si="345"/>
        <v>5.88686461718811</v>
      </c>
      <c r="AL395" s="32">
        <f t="shared" si="346"/>
        <v>1.40009886813595</v>
      </c>
      <c r="AM395" s="32" t="str">
        <f t="shared" si="326"/>
        <v>1-0,587077466219451i</v>
      </c>
      <c r="AN395" s="32">
        <f t="shared" si="347"/>
        <v>1.15959473582052</v>
      </c>
      <c r="AO395" s="32">
        <f t="shared" si="348"/>
        <v>-0.530863446239163</v>
      </c>
      <c r="AP395" s="30" t="str">
        <f t="shared" si="349"/>
        <v>3,36165763591773-2,82566756539292i</v>
      </c>
      <c r="AQ395" s="32">
        <f t="shared" si="350"/>
        <v>12.8522277910176</v>
      </c>
      <c r="AR395" s="31">
        <f t="shared" si="351"/>
        <v>-40.0489923418133</v>
      </c>
      <c r="AS395" t="str">
        <f t="shared" si="327"/>
        <v>-0,000100699300699301</v>
      </c>
      <c r="AT395" t="str">
        <f t="shared" si="328"/>
        <v>0,0831348161659069i</v>
      </c>
      <c r="AU395">
        <f t="shared" si="352"/>
        <v>0.0831348161659069</v>
      </c>
      <c r="AV395">
        <f t="shared" si="353"/>
        <v>1.5707963267949</v>
      </c>
      <c r="AW395" t="str">
        <f t="shared" si="329"/>
        <v>1+4,25635010333452i</v>
      </c>
      <c r="AX395">
        <f t="shared" si="354"/>
        <v>4.37224384065617</v>
      </c>
      <c r="AY395">
        <f t="shared" si="355"/>
        <v>1.34003830880994</v>
      </c>
      <c r="AZ395" t="str">
        <f t="shared" si="330"/>
        <v>1+203,489759195589i</v>
      </c>
      <c r="BA395">
        <f t="shared" si="356"/>
        <v>203.492216306862</v>
      </c>
      <c r="BB395">
        <f t="shared" si="357"/>
        <v>1.56588211413814</v>
      </c>
      <c r="BC395" s="30" t="str">
        <f t="shared" si="358"/>
        <v>-0,0126239984014945+0,0549434340207213i</v>
      </c>
      <c r="BD395" s="32">
        <f t="shared" si="359"/>
        <v>-24.9782611779394</v>
      </c>
      <c r="BE395" s="31">
        <f t="shared" si="360"/>
        <v>102.93989687448</v>
      </c>
      <c r="BF395" s="30" t="str">
        <f t="shared" si="361"/>
        <v>0,0891061682951664-0,0379257540175791i</v>
      </c>
      <c r="BG395" s="68">
        <f t="shared" si="362"/>
        <v>-20.2787717334765</v>
      </c>
      <c r="BH395" s="31">
        <f t="shared" si="363"/>
        <v>-23.055784414386</v>
      </c>
      <c r="BI395" s="30" t="str">
        <f t="shared" si="369"/>
        <v>0,112814318821461+0,220372237347975i</v>
      </c>
      <c r="BJ395" s="68">
        <f t="shared" si="364"/>
        <v>-12.1260333869218</v>
      </c>
      <c r="BK395" s="31">
        <f t="shared" si="370"/>
        <v>62.8909045326669</v>
      </c>
      <c r="BL395" s="32">
        <f t="shared" si="365"/>
        <v>-20.2787717334765</v>
      </c>
      <c r="BM395" s="31">
        <f t="shared" si="366"/>
        <v>-23.055784414386</v>
      </c>
      <c r="BO395">
        <f t="shared" si="367"/>
        <v>0</v>
      </c>
      <c r="BP395">
        <f t="shared" si="368"/>
        <v>0</v>
      </c>
    </row>
    <row r="396" spans="14:68">
      <c r="N396" s="7">
        <v>78</v>
      </c>
      <c r="O396" s="18">
        <f t="shared" si="371"/>
        <v>60255.9586074359</v>
      </c>
      <c r="P396" s="86" t="str">
        <f t="shared" si="319"/>
        <v>75</v>
      </c>
      <c r="Q396" s="4" t="str">
        <f t="shared" si="320"/>
        <v>1+618,378944527363i</v>
      </c>
      <c r="R396" s="4">
        <f t="shared" si="331"/>
        <v>618.379753092528</v>
      </c>
      <c r="S396" s="4">
        <f t="shared" si="332"/>
        <v>1.56917919681797</v>
      </c>
      <c r="T396" s="4" t="str">
        <f t="shared" si="321"/>
        <v>1+5,93643786746269i</v>
      </c>
      <c r="U396" s="4">
        <f t="shared" si="333"/>
        <v>6.02007429806684</v>
      </c>
      <c r="V396" s="4">
        <f t="shared" si="334"/>
        <v>1.40391186424705</v>
      </c>
      <c r="W396" t="str">
        <f t="shared" si="322"/>
        <v>1-3,11397968494136i</v>
      </c>
      <c r="X396" s="4">
        <f t="shared" si="335"/>
        <v>3.27060689753867</v>
      </c>
      <c r="Y396" s="4">
        <f t="shared" si="336"/>
        <v>-1.26006643978259</v>
      </c>
      <c r="Z396" t="str">
        <f t="shared" si="323"/>
        <v>0,970360975120808+0,977172658655255i</v>
      </c>
      <c r="AA396" s="4">
        <f t="shared" si="337"/>
        <v>1.37712266224211</v>
      </c>
      <c r="AB396" s="4">
        <f t="shared" si="338"/>
        <v>0.788895743947718</v>
      </c>
      <c r="AC396" s="67" t="str">
        <f t="shared" si="339"/>
        <v>-1,04034047318653-1,38731692420051i</v>
      </c>
      <c r="AD396" s="68">
        <f t="shared" si="340"/>
        <v>4.78127152423818</v>
      </c>
      <c r="AE396" s="31">
        <f t="shared" si="341"/>
        <v>-126.866006157354</v>
      </c>
      <c r="AF396" s="32" t="str">
        <f t="shared" si="342"/>
        <v>249,914648392112</v>
      </c>
      <c r="AG396" s="32" t="str">
        <f t="shared" si="324"/>
        <v>1+397,529321481876i</v>
      </c>
      <c r="AH396" s="32">
        <f t="shared" si="343"/>
        <v>397.530579248743</v>
      </c>
      <c r="AI396" s="32">
        <f t="shared" si="344"/>
        <v>1.56828079438846</v>
      </c>
      <c r="AJ396" s="32" t="str">
        <f t="shared" si="325"/>
        <v>1+5,93643786746269i</v>
      </c>
      <c r="AK396" s="32">
        <f t="shared" si="345"/>
        <v>6.02007429806684</v>
      </c>
      <c r="AL396" s="32">
        <f t="shared" si="346"/>
        <v>1.40391186424705</v>
      </c>
      <c r="AM396" s="32" t="str">
        <f t="shared" si="326"/>
        <v>1-0,600752257108307i</v>
      </c>
      <c r="AN396" s="32">
        <f t="shared" si="347"/>
        <v>1.16657759039882</v>
      </c>
      <c r="AO396" s="32">
        <f t="shared" si="348"/>
        <v>-0.540972446930001</v>
      </c>
      <c r="AP396" s="30" t="str">
        <f t="shared" si="349"/>
        <v>3,36158410783327-2,86225624864809i</v>
      </c>
      <c r="AQ396" s="32">
        <f t="shared" si="350"/>
        <v>12.8987330330181</v>
      </c>
      <c r="AR396" s="31">
        <f t="shared" si="351"/>
        <v>-40.4130840221368</v>
      </c>
      <c r="AS396" t="str">
        <f t="shared" si="327"/>
        <v>-0,000100699300699301</v>
      </c>
      <c r="AT396" t="str">
        <f t="shared" si="328"/>
        <v>0,0850712747971214i</v>
      </c>
      <c r="AU396">
        <f t="shared" si="352"/>
        <v>0.0850712747971214</v>
      </c>
      <c r="AV396">
        <f t="shared" si="353"/>
        <v>1.5707963267949</v>
      </c>
      <c r="AW396" t="str">
        <f t="shared" si="329"/>
        <v>1+4,35549323343569i</v>
      </c>
      <c r="AX396">
        <f t="shared" si="354"/>
        <v>4.46881654428822</v>
      </c>
      <c r="AY396">
        <f t="shared" si="355"/>
        <v>1.34511250890362</v>
      </c>
      <c r="AZ396" t="str">
        <f t="shared" si="330"/>
        <v>1+208,229644585744i</v>
      </c>
      <c r="BA396">
        <f t="shared" si="356"/>
        <v>208.232045766989</v>
      </c>
      <c r="BB396">
        <f t="shared" si="357"/>
        <v>1.56599397353513</v>
      </c>
      <c r="BC396" s="30" t="str">
        <f t="shared" si="358"/>
        <v>-0,0120842757747497+0,0538166864544746i</v>
      </c>
      <c r="BD396" s="32">
        <f t="shared" si="359"/>
        <v>-25.1680289297027</v>
      </c>
      <c r="BE396" s="31">
        <f t="shared" si="360"/>
        <v>102.655575696054</v>
      </c>
      <c r="BF396" s="30" t="str">
        <f t="shared" si="361"/>
        <v>0,0872325611003046-0,0392229567523627i</v>
      </c>
      <c r="BG396" s="68">
        <f t="shared" si="362"/>
        <v>-20.3867574054646</v>
      </c>
      <c r="BH396" s="31">
        <f t="shared" si="363"/>
        <v>-24.2104304612998</v>
      </c>
      <c r="BI396" s="30" t="str">
        <f t="shared" si="369"/>
        <v>0,113414837686782+0,215497611768272i</v>
      </c>
      <c r="BJ396" s="68">
        <f t="shared" si="364"/>
        <v>-12.2692958966846</v>
      </c>
      <c r="BK396" s="31">
        <f t="shared" si="370"/>
        <v>62.2424916739171</v>
      </c>
      <c r="BL396" s="32">
        <f t="shared" si="365"/>
        <v>-20.3867574054646</v>
      </c>
      <c r="BM396" s="31">
        <f t="shared" si="366"/>
        <v>-24.2104304612998</v>
      </c>
      <c r="BO396">
        <f t="shared" si="367"/>
        <v>0</v>
      </c>
      <c r="BP396">
        <f t="shared" si="368"/>
        <v>0</v>
      </c>
    </row>
    <row r="397" spans="14:68">
      <c r="N397" s="7">
        <v>79</v>
      </c>
      <c r="O397" s="18">
        <f t="shared" si="371"/>
        <v>61659.5001861482</v>
      </c>
      <c r="P397" s="86" t="str">
        <f t="shared" si="319"/>
        <v>75</v>
      </c>
      <c r="Q397" s="4" t="str">
        <f t="shared" si="320"/>
        <v>1+632,782840508817i</v>
      </c>
      <c r="R397" s="4">
        <f t="shared" si="331"/>
        <v>632.783630668815</v>
      </c>
      <c r="S397" s="4">
        <f t="shared" si="332"/>
        <v>1.56921600712832</v>
      </c>
      <c r="T397" s="4" t="str">
        <f t="shared" si="321"/>
        <v>1+6,07471526888465i</v>
      </c>
      <c r="U397" s="4">
        <f t="shared" si="333"/>
        <v>6.15647347091014</v>
      </c>
      <c r="V397" s="4">
        <f t="shared" si="334"/>
        <v>1.4076428050076</v>
      </c>
      <c r="W397" t="str">
        <f t="shared" si="322"/>
        <v>1-3,18651358970511i</v>
      </c>
      <c r="X397" s="4">
        <f t="shared" si="335"/>
        <v>3.33974083685776</v>
      </c>
      <c r="Y397" s="4">
        <f t="shared" si="336"/>
        <v>-1.26670697576474</v>
      </c>
      <c r="Z397" t="str">
        <f t="shared" si="323"/>
        <v>0,968964130912607+0,999933933850271i</v>
      </c>
      <c r="AA397" s="4">
        <f t="shared" si="337"/>
        <v>1.3923933923502</v>
      </c>
      <c r="AB397" s="4">
        <f t="shared" si="338"/>
        <v>0.801126376916409</v>
      </c>
      <c r="AC397" s="67" t="str">
        <f t="shared" si="339"/>
        <v>-1,07115741276025-1,38413814070213i</v>
      </c>
      <c r="AD397" s="68">
        <f t="shared" si="340"/>
        <v>4.86177706204651</v>
      </c>
      <c r="AE397" s="31">
        <f t="shared" si="341"/>
        <v>-127.735586408948</v>
      </c>
      <c r="AF397" s="32" t="str">
        <f t="shared" si="342"/>
        <v>249,914648392112</v>
      </c>
      <c r="AG397" s="32" t="str">
        <f t="shared" si="324"/>
        <v>1+406,788968898525i</v>
      </c>
      <c r="AH397" s="32">
        <f t="shared" si="343"/>
        <v>406.79019803521</v>
      </c>
      <c r="AI397" s="32">
        <f t="shared" si="344"/>
        <v>1.56833805466343</v>
      </c>
      <c r="AJ397" s="32" t="str">
        <f t="shared" si="325"/>
        <v>1+6,07471526888465i</v>
      </c>
      <c r="AK397" s="32">
        <f t="shared" si="345"/>
        <v>6.15647347091014</v>
      </c>
      <c r="AL397" s="32">
        <f t="shared" si="346"/>
        <v>1.4076428050076</v>
      </c>
      <c r="AM397" s="32" t="str">
        <f t="shared" si="326"/>
        <v>1-0,614745574795774i</v>
      </c>
      <c r="AN397" s="32">
        <f t="shared" si="347"/>
        <v>1.17384501606089</v>
      </c>
      <c r="AO397" s="32">
        <f t="shared" si="348"/>
        <v>-0.551191340187138</v>
      </c>
      <c r="AP397" s="30" t="str">
        <f t="shared" si="349"/>
        <v>3,36151388901679-2,90036252139904i</v>
      </c>
      <c r="AQ397" s="32">
        <f t="shared" si="350"/>
        <v>12.947280109811</v>
      </c>
      <c r="AR397" s="31">
        <f t="shared" si="351"/>
        <v>-40.7880970899625</v>
      </c>
      <c r="AS397" t="str">
        <f t="shared" si="327"/>
        <v>-0,000100699300699301</v>
      </c>
      <c r="AT397" t="str">
        <f t="shared" si="328"/>
        <v>0,0870528393442845i</v>
      </c>
      <c r="AU397">
        <f t="shared" si="352"/>
        <v>0.0870528393442845</v>
      </c>
      <c r="AV397">
        <f t="shared" si="353"/>
        <v>1.5707963267949</v>
      </c>
      <c r="AW397" t="str">
        <f t="shared" si="329"/>
        <v>1+4,45694570370097i</v>
      </c>
      <c r="AX397">
        <f t="shared" si="354"/>
        <v>4.56775273036299</v>
      </c>
      <c r="AY397">
        <f t="shared" si="355"/>
        <v>1.35008265668419</v>
      </c>
      <c r="AZ397" t="str">
        <f t="shared" si="330"/>
        <v>1+213,079936089703i</v>
      </c>
      <c r="BA397">
        <f t="shared" si="356"/>
        <v>213.082282613998</v>
      </c>
      <c r="BB397">
        <f t="shared" si="357"/>
        <v>1.56610328681751</v>
      </c>
      <c r="BC397" s="30" t="str">
        <f t="shared" si="358"/>
        <v>-0,0115664612803591+0,0527078505797622i</v>
      </c>
      <c r="BD397" s="32">
        <f t="shared" si="359"/>
        <v>-25.3582346314191</v>
      </c>
      <c r="BE397" s="31">
        <f t="shared" si="360"/>
        <v>102.377070394396</v>
      </c>
      <c r="BF397" s="30" t="str">
        <f t="shared" si="361"/>
        <v>0,0853444470417388-0,0404488246480725i</v>
      </c>
      <c r="BG397" s="68">
        <f t="shared" si="362"/>
        <v>-20.4964575693726</v>
      </c>
      <c r="BH397" s="31">
        <f t="shared" si="363"/>
        <v>-25.3585160145522</v>
      </c>
      <c r="BI397" s="30" t="str">
        <f t="shared" si="369"/>
        <v>0,113991054164341+0,210725102586859i</v>
      </c>
      <c r="BJ397" s="68">
        <f t="shared" si="364"/>
        <v>-12.4109545216081</v>
      </c>
      <c r="BK397" s="31">
        <f t="shared" si="370"/>
        <v>61.5889733044334</v>
      </c>
      <c r="BL397" s="32">
        <f t="shared" si="365"/>
        <v>-20.4964575693726</v>
      </c>
      <c r="BM397" s="31">
        <f t="shared" si="366"/>
        <v>-25.3585160145522</v>
      </c>
      <c r="BO397">
        <f t="shared" si="367"/>
        <v>0</v>
      </c>
      <c r="BP397">
        <f t="shared" si="368"/>
        <v>0</v>
      </c>
    </row>
    <row r="398" spans="14:68">
      <c r="N398" s="7">
        <v>80</v>
      </c>
      <c r="O398" s="18">
        <f t="shared" si="371"/>
        <v>63095.7344480193</v>
      </c>
      <c r="P398" s="86" t="str">
        <f t="shared" si="319"/>
        <v>75</v>
      </c>
      <c r="Q398" s="4" t="str">
        <f t="shared" si="320"/>
        <v>1+647,522246328183i</v>
      </c>
      <c r="R398" s="4">
        <f t="shared" si="331"/>
        <v>647.523018501965</v>
      </c>
      <c r="S398" s="4">
        <f t="shared" si="332"/>
        <v>1.56925197953784</v>
      </c>
      <c r="T398" s="4" t="str">
        <f t="shared" si="321"/>
        <v>1+6,21621356475056i</v>
      </c>
      <c r="U398" s="4">
        <f t="shared" si="333"/>
        <v>6.29613461439548</v>
      </c>
      <c r="V398" s="4">
        <f t="shared" si="334"/>
        <v>1.41129325292687</v>
      </c>
      <c r="W398" t="str">
        <f t="shared" si="322"/>
        <v>1-3,26073702615264i</v>
      </c>
      <c r="X398" s="4">
        <f t="shared" si="335"/>
        <v>3.41063131307428</v>
      </c>
      <c r="Y398" s="4">
        <f t="shared" si="336"/>
        <v>-1.27322320852928</v>
      </c>
      <c r="Z398" t="str">
        <f t="shared" si="323"/>
        <v>0,967501455465021+1,02322538725271i</v>
      </c>
      <c r="AA398" s="4">
        <f t="shared" si="337"/>
        <v>1.40820781827307</v>
      </c>
      <c r="AB398" s="4">
        <f t="shared" si="338"/>
        <v>0.813382607816454</v>
      </c>
      <c r="AC398" s="67" t="str">
        <f t="shared" si="339"/>
        <v>-1,10201512360159-1,38026914391121i</v>
      </c>
      <c r="AD398" s="68">
        <f t="shared" si="340"/>
        <v>4.94096161093559</v>
      </c>
      <c r="AE398" s="31">
        <f t="shared" si="341"/>
        <v>-128.60407515613</v>
      </c>
      <c r="AF398" s="32" t="str">
        <f t="shared" si="342"/>
        <v>249,914648392112</v>
      </c>
      <c r="AG398" s="32" t="str">
        <f t="shared" si="324"/>
        <v>1+416,264301210975i</v>
      </c>
      <c r="AH398" s="32">
        <f t="shared" si="343"/>
        <v>416.265502369175</v>
      </c>
      <c r="AI398" s="32">
        <f t="shared" si="344"/>
        <v>1.56839401155099</v>
      </c>
      <c r="AJ398" s="32" t="str">
        <f t="shared" si="325"/>
        <v>1+6,21621356475056i</v>
      </c>
      <c r="AK398" s="32">
        <f t="shared" si="345"/>
        <v>6.29613461439548</v>
      </c>
      <c r="AL398" s="32">
        <f t="shared" si="346"/>
        <v>1.41129325292687</v>
      </c>
      <c r="AM398" s="32" t="str">
        <f t="shared" si="326"/>
        <v>1-0,62906483872412i</v>
      </c>
      <c r="AN398" s="32">
        <f t="shared" si="347"/>
        <v>1.18140703033248</v>
      </c>
      <c r="AO398" s="32">
        <f t="shared" si="348"/>
        <v>-0.561517006830284</v>
      </c>
      <c r="AP398" s="30" t="str">
        <f t="shared" si="349"/>
        <v>3,36144683053029-2,94000658920752i</v>
      </c>
      <c r="AQ398" s="32">
        <f t="shared" si="350"/>
        <v>12.9978969525098</v>
      </c>
      <c r="AR398" s="31">
        <f t="shared" si="351"/>
        <v>-41.1737650436593</v>
      </c>
      <c r="AS398" t="str">
        <f t="shared" si="327"/>
        <v>-0,000100699300699301</v>
      </c>
      <c r="AT398" t="str">
        <f t="shared" si="328"/>
        <v>0,0890805604591486i</v>
      </c>
      <c r="AU398">
        <f t="shared" si="352"/>
        <v>0.0890805604591486</v>
      </c>
      <c r="AV398">
        <f t="shared" si="353"/>
        <v>1.5707963267949</v>
      </c>
      <c r="AW398" t="str">
        <f t="shared" si="329"/>
        <v>1+4,56076130557302i</v>
      </c>
      <c r="AX398">
        <f t="shared" si="354"/>
        <v>4.66910523402634</v>
      </c>
      <c r="AY398">
        <f t="shared" si="355"/>
        <v>1.35495040475154</v>
      </c>
      <c r="AZ398" t="str">
        <f t="shared" si="330"/>
        <v>1+218,043205396225i</v>
      </c>
      <c r="BA398">
        <f t="shared" si="356"/>
        <v>218.045498507675</v>
      </c>
      <c r="BB398">
        <f t="shared" si="357"/>
        <v>1.56621011193417</v>
      </c>
      <c r="BC398" s="30" t="str">
        <f t="shared" si="358"/>
        <v>-0,0110697638301825+0,0516169801202487i</v>
      </c>
      <c r="BD398" s="32">
        <f t="shared" si="359"/>
        <v>-25.5488604654486</v>
      </c>
      <c r="BE398" s="31">
        <f t="shared" si="360"/>
        <v>102.104289602734</v>
      </c>
      <c r="BF398" s="30" t="str">
        <f t="shared" si="361"/>
        <v>0,0834443721174166-0,0416034392819714i</v>
      </c>
      <c r="BG398" s="68">
        <f t="shared" si="362"/>
        <v>-20.607898854513</v>
      </c>
      <c r="BH398" s="31">
        <f t="shared" si="363"/>
        <v>-26.4997855533953</v>
      </c>
      <c r="BI398" s="30" t="str">
        <f t="shared" si="369"/>
        <v>0,114543839126839+0,206052912828463i</v>
      </c>
      <c r="BJ398" s="68">
        <f t="shared" si="364"/>
        <v>-12.5509635129388</v>
      </c>
      <c r="BK398" s="31">
        <f t="shared" si="370"/>
        <v>60.9305245590751</v>
      </c>
      <c r="BL398" s="32">
        <f t="shared" si="365"/>
        <v>-20.607898854513</v>
      </c>
      <c r="BM398" s="31">
        <f t="shared" si="366"/>
        <v>-26.4997855533953</v>
      </c>
      <c r="BO398">
        <f t="shared" si="367"/>
        <v>0</v>
      </c>
      <c r="BP398">
        <f t="shared" si="368"/>
        <v>0</v>
      </c>
    </row>
    <row r="399" spans="14:68">
      <c r="N399" s="7">
        <v>81</v>
      </c>
      <c r="O399" s="18">
        <f t="shared" si="371"/>
        <v>64565.4229034657</v>
      </c>
      <c r="P399" s="86" t="str">
        <f t="shared" si="319"/>
        <v>75</v>
      </c>
      <c r="Q399" s="4" t="str">
        <f t="shared" si="320"/>
        <v>1+662,604977013523i</v>
      </c>
      <c r="R399" s="4">
        <f t="shared" si="331"/>
        <v>662.605731610504</v>
      </c>
      <c r="S399" s="4">
        <f t="shared" si="332"/>
        <v>1.56928713311922</v>
      </c>
      <c r="T399" s="4" t="str">
        <f t="shared" si="321"/>
        <v>1+6,36100777932983i</v>
      </c>
      <c r="U399" s="4">
        <f t="shared" si="333"/>
        <v>6.43913192664156</v>
      </c>
      <c r="V399" s="4">
        <f t="shared" si="334"/>
        <v>1.41486475416282</v>
      </c>
      <c r="W399" t="str">
        <f t="shared" si="322"/>
        <v>1-3,33668934853239i</v>
      </c>
      <c r="X399" s="4">
        <f t="shared" si="335"/>
        <v>3.4833167826957</v>
      </c>
      <c r="Y399" s="4">
        <f t="shared" si="336"/>
        <v>-1.27961637876651</v>
      </c>
      <c r="Z399" t="str">
        <f t="shared" si="323"/>
        <v>0,965969846247319+1,04705936829946i</v>
      </c>
      <c r="AA399" s="4">
        <f t="shared" si="337"/>
        <v>1.42458101370288</v>
      </c>
      <c r="AB399" s="4">
        <f t="shared" si="338"/>
        <v>0.825658733734411</v>
      </c>
      <c r="AC399" s="67" t="str">
        <f t="shared" si="339"/>
        <v>-1,13288059409697-1,37570582585811i</v>
      </c>
      <c r="AD399" s="68">
        <f t="shared" si="340"/>
        <v>5.01878437111674</v>
      </c>
      <c r="AE399" s="31">
        <f t="shared" si="341"/>
        <v>-129.471129236804</v>
      </c>
      <c r="AF399" s="32" t="str">
        <f t="shared" si="342"/>
        <v>249,914648392112</v>
      </c>
      <c r="AG399" s="32" t="str">
        <f t="shared" si="324"/>
        <v>1+425,960342365836i</v>
      </c>
      <c r="AH399" s="32">
        <f t="shared" si="343"/>
        <v>425.961516182413</v>
      </c>
      <c r="AI399" s="32">
        <f t="shared" si="344"/>
        <v>1.56844869471882</v>
      </c>
      <c r="AJ399" s="32" t="str">
        <f t="shared" si="325"/>
        <v>1+6,36100777932983i</v>
      </c>
      <c r="AK399" s="32">
        <f t="shared" si="345"/>
        <v>6.43913192664156</v>
      </c>
      <c r="AL399" s="32">
        <f t="shared" si="346"/>
        <v>1.41486475416282</v>
      </c>
      <c r="AM399" s="32" t="str">
        <f t="shared" si="326"/>
        <v>1-0,643717641156616i</v>
      </c>
      <c r="AN399" s="32">
        <f t="shared" si="347"/>
        <v>1.18927389676905</v>
      </c>
      <c r="AO399" s="32">
        <f t="shared" si="348"/>
        <v>-0.571946113971036</v>
      </c>
      <c r="AP399" s="30" t="str">
        <f t="shared" si="349"/>
        <v>3,36138279013884-2,98120947292041i</v>
      </c>
      <c r="AQ399" s="32">
        <f t="shared" si="350"/>
        <v>13.0506111610232</v>
      </c>
      <c r="AR399" s="31">
        <f t="shared" si="351"/>
        <v>-41.5698100342957</v>
      </c>
      <c r="AS399" t="str">
        <f t="shared" si="327"/>
        <v>-0,000100699300699301</v>
      </c>
      <c r="AT399" t="str">
        <f t="shared" si="328"/>
        <v>0,091155513266289i</v>
      </c>
      <c r="AU399">
        <f t="shared" si="352"/>
        <v>0.091155513266289</v>
      </c>
      <c r="AV399">
        <f t="shared" si="353"/>
        <v>1.5707963267949</v>
      </c>
      <c r="AW399" t="str">
        <f t="shared" si="329"/>
        <v>1+4,6669950834581i</v>
      </c>
      <c r="AX399">
        <f t="shared" si="354"/>
        <v>4.77292814831965</v>
      </c>
      <c r="AY399">
        <f t="shared" si="355"/>
        <v>1.35971741090023</v>
      </c>
      <c r="AZ399" t="str">
        <f t="shared" si="330"/>
        <v>1+223,12208409639i</v>
      </c>
      <c r="BA399">
        <f t="shared" si="356"/>
        <v>223.124325010781</v>
      </c>
      <c r="BB399">
        <f t="shared" si="357"/>
        <v>1.56631450551545</v>
      </c>
      <c r="BC399" s="30" t="str">
        <f t="shared" si="358"/>
        <v>-0,0105934125801771+0,0505441022916571i</v>
      </c>
      <c r="BD399" s="32">
        <f t="shared" si="359"/>
        <v>-25.7398892609668</v>
      </c>
      <c r="BE399" s="31">
        <f t="shared" si="360"/>
        <v>101.837141581117</v>
      </c>
      <c r="BF399" s="30" t="str">
        <f t="shared" si="361"/>
        <v>0,0815348875227463-0,0426870132300023i</v>
      </c>
      <c r="BG399" s="68">
        <f t="shared" si="362"/>
        <v>-20.7211048898501</v>
      </c>
      <c r="BH399" s="31">
        <f t="shared" si="363"/>
        <v>-27.6339876556869</v>
      </c>
      <c r="BI399" s="30" t="str">
        <f t="shared" si="369"/>
        <v>0,115074041816299+0,201479257520772i</v>
      </c>
      <c r="BJ399" s="68">
        <f t="shared" si="364"/>
        <v>-12.6892780999436</v>
      </c>
      <c r="BK399" s="31">
        <f t="shared" si="370"/>
        <v>60.2673315468213</v>
      </c>
      <c r="BL399" s="32">
        <f t="shared" si="365"/>
        <v>-20.7211048898501</v>
      </c>
      <c r="BM399" s="31">
        <f t="shared" si="366"/>
        <v>-27.6339876556869</v>
      </c>
      <c r="BO399">
        <f t="shared" si="367"/>
        <v>0</v>
      </c>
      <c r="BP399">
        <f t="shared" si="368"/>
        <v>0</v>
      </c>
    </row>
    <row r="400" spans="14:68">
      <c r="N400" s="7">
        <v>82</v>
      </c>
      <c r="O400" s="18">
        <f t="shared" si="371"/>
        <v>66069.3448007597</v>
      </c>
      <c r="P400" s="86" t="str">
        <f t="shared" si="319"/>
        <v>75</v>
      </c>
      <c r="Q400" s="4" t="str">
        <f t="shared" si="320"/>
        <v>1+678,039029628288i</v>
      </c>
      <c r="R400" s="4">
        <f t="shared" si="331"/>
        <v>678.039767048564</v>
      </c>
      <c r="S400" s="4">
        <f t="shared" si="332"/>
        <v>1.569321486511</v>
      </c>
      <c r="T400" s="4" t="str">
        <f t="shared" si="321"/>
        <v>1+6,50917468443157i</v>
      </c>
      <c r="U400" s="4">
        <f t="shared" si="333"/>
        <v>6.58554136517605</v>
      </c>
      <c r="V400" s="4">
        <f t="shared" si="334"/>
        <v>1.41835883773282</v>
      </c>
      <c r="W400" t="str">
        <f t="shared" si="322"/>
        <v>1-3,41441082777102i</v>
      </c>
      <c r="X400" s="4">
        <f t="shared" si="335"/>
        <v>3.5578366040053</v>
      </c>
      <c r="Y400" s="4">
        <f t="shared" si="336"/>
        <v>-1.28588778500122</v>
      </c>
      <c r="Z400" t="str">
        <f t="shared" si="323"/>
        <v>0,964366054511007+1,07144851408275i</v>
      </c>
      <c r="AA400" s="4">
        <f t="shared" si="337"/>
        <v>1.44152828811066</v>
      </c>
      <c r="AB400" s="4">
        <f t="shared" si="338"/>
        <v>0.837949053952672</v>
      </c>
      <c r="AC400" s="67" t="str">
        <f t="shared" si="339"/>
        <v>-1,16372074189919-1,37044597842002i</v>
      </c>
      <c r="AD400" s="68">
        <f t="shared" si="340"/>
        <v>5.09520818126945</v>
      </c>
      <c r="AE400" s="31">
        <f t="shared" si="341"/>
        <v>-130.336409885569</v>
      </c>
      <c r="AF400" s="32" t="str">
        <f t="shared" si="342"/>
        <v>249,914648392112</v>
      </c>
      <c r="AG400" s="32" t="str">
        <f t="shared" si="324"/>
        <v>1+435,882233332471i</v>
      </c>
      <c r="AH400" s="32">
        <f t="shared" si="343"/>
        <v>435.883380429792</v>
      </c>
      <c r="AI400" s="32">
        <f t="shared" si="344"/>
        <v>1.56850213315935</v>
      </c>
      <c r="AJ400" s="32" t="str">
        <f t="shared" si="325"/>
        <v>1+6,50917468443157i</v>
      </c>
      <c r="AK400" s="32">
        <f t="shared" si="345"/>
        <v>6.58554136517605</v>
      </c>
      <c r="AL400" s="32">
        <f t="shared" si="346"/>
        <v>1.41835883773282</v>
      </c>
      <c r="AM400" s="32" t="str">
        <f t="shared" si="326"/>
        <v>1-0,658711751203061i</v>
      </c>
      <c r="AN400" s="32">
        <f t="shared" si="347"/>
        <v>1.19745612494697</v>
      </c>
      <c r="AO400" s="32">
        <f t="shared" si="348"/>
        <v>-0.58247511630209</v>
      </c>
      <c r="AP400" s="30" t="str">
        <f t="shared" si="349"/>
        <v>3,36132163200873-3,02399301982013i</v>
      </c>
      <c r="AQ400" s="32">
        <f t="shared" si="350"/>
        <v>13.10544987615</v>
      </c>
      <c r="AR400" s="31">
        <f t="shared" si="351"/>
        <v>-41.9759429856274</v>
      </c>
      <c r="AS400" t="str">
        <f t="shared" si="327"/>
        <v>-0,000100699300699301</v>
      </c>
      <c r="AT400" t="str">
        <f t="shared" si="328"/>
        <v>0,0932787979331488i</v>
      </c>
      <c r="AU400">
        <f t="shared" si="352"/>
        <v>0.0932787979331488</v>
      </c>
      <c r="AV400">
        <f t="shared" si="353"/>
        <v>1.5707963267949</v>
      </c>
      <c r="AW400" t="str">
        <f t="shared" si="329"/>
        <v>1+4,77570336391141i</v>
      </c>
      <c r="AX400">
        <f t="shared" si="354"/>
        <v>4.87927685421464</v>
      </c>
      <c r="AY400">
        <f t="shared" si="355"/>
        <v>1.36438533564385</v>
      </c>
      <c r="AZ400" t="str">
        <f t="shared" si="330"/>
        <v>1+228,319265078913i</v>
      </c>
      <c r="BA400">
        <f t="shared" si="356"/>
        <v>228.32145498436</v>
      </c>
      <c r="BB400">
        <f t="shared" si="357"/>
        <v>1.5664165229031</v>
      </c>
      <c r="BC400" s="30" t="str">
        <f t="shared" si="358"/>
        <v>-0,0101366571578075+0,0494892195569207i</v>
      </c>
      <c r="BD400" s="32">
        <f t="shared" si="359"/>
        <v>-25.9313044771061</v>
      </c>
      <c r="BE400" s="31">
        <f t="shared" si="360"/>
        <v>101.575534359972</v>
      </c>
      <c r="BF400" s="30" t="str">
        <f t="shared" si="361"/>
        <v>0,0796185401049889-0,0436998902622519i</v>
      </c>
      <c r="BG400" s="68">
        <f t="shared" si="362"/>
        <v>-20.8360962958367</v>
      </c>
      <c r="BH400" s="31">
        <f t="shared" si="363"/>
        <v>-28.7608755255973</v>
      </c>
      <c r="BI400" s="30" t="str">
        <f t="shared" si="369"/>
        <v>0,11558248951568+0,197002364737427i</v>
      </c>
      <c r="BJ400" s="68">
        <f t="shared" si="364"/>
        <v>-12.8258546009561</v>
      </c>
      <c r="BK400" s="31">
        <f t="shared" si="370"/>
        <v>59.5995913743447</v>
      </c>
      <c r="BL400" s="32">
        <f t="shared" si="365"/>
        <v>-20.8360962958367</v>
      </c>
      <c r="BM400" s="31">
        <f t="shared" si="366"/>
        <v>-28.7608755255973</v>
      </c>
      <c r="BO400">
        <f t="shared" si="367"/>
        <v>0</v>
      </c>
      <c r="BP400">
        <f t="shared" si="368"/>
        <v>0</v>
      </c>
    </row>
    <row r="401" spans="14:68">
      <c r="N401" s="7">
        <v>83</v>
      </c>
      <c r="O401" s="18">
        <f t="shared" si="371"/>
        <v>67608.2975391983</v>
      </c>
      <c r="P401" s="86" t="str">
        <f t="shared" si="319"/>
        <v>75</v>
      </c>
      <c r="Q401" s="4" t="str">
        <f t="shared" si="320"/>
        <v>1+693,832587511471i</v>
      </c>
      <c r="R401" s="4">
        <f t="shared" si="331"/>
        <v>693.83330814603</v>
      </c>
      <c r="S401" s="4">
        <f t="shared" si="332"/>
        <v>1.56935505792748</v>
      </c>
      <c r="T401" s="4" t="str">
        <f t="shared" si="321"/>
        <v>1+6,66079284011013i</v>
      </c>
      <c r="U401" s="4">
        <f t="shared" si="333"/>
        <v>6.7354406877993</v>
      </c>
      <c r="V401" s="4">
        <f t="shared" si="334"/>
        <v>1.42177701480753</v>
      </c>
      <c r="W401" t="str">
        <f t="shared" si="322"/>
        <v>1-3,49394267282562i</v>
      </c>
      <c r="X401" s="4">
        <f t="shared" si="335"/>
        <v>3.63423106048471</v>
      </c>
      <c r="Y401" s="4">
        <f t="shared" si="336"/>
        <v>-1.29203877840855</v>
      </c>
      <c r="Z401" t="str">
        <f t="shared" si="323"/>
        <v>0,962686678398785+1,09640575605051i</v>
      </c>
      <c r="AA401" s="4">
        <f t="shared" si="337"/>
        <v>1.45906518794301</v>
      </c>
      <c r="AB401" s="4">
        <f t="shared" si="338"/>
        <v>0.850247886304676</v>
      </c>
      <c r="AC401" s="67" t="str">
        <f t="shared" si="339"/>
        <v>-1,19450255250815-1,36448929119735i</v>
      </c>
      <c r="AD401" s="68">
        <f t="shared" si="340"/>
        <v>5.17019949781181</v>
      </c>
      <c r="AE401" s="31">
        <f t="shared" si="341"/>
        <v>-131.199583414799</v>
      </c>
      <c r="AF401" s="32" t="str">
        <f t="shared" si="342"/>
        <v>249,914648392112</v>
      </c>
      <c r="AG401" s="32" t="str">
        <f t="shared" si="324"/>
        <v>1+446,035234828803i</v>
      </c>
      <c r="AH401" s="32">
        <f t="shared" si="343"/>
        <v>446.036355815067</v>
      </c>
      <c r="AI401" s="32">
        <f t="shared" si="344"/>
        <v>1.56855435520513</v>
      </c>
      <c r="AJ401" s="32" t="str">
        <f t="shared" si="325"/>
        <v>1+6,66079284011013i</v>
      </c>
      <c r="AK401" s="32">
        <f t="shared" si="345"/>
        <v>6.7354406877993</v>
      </c>
      <c r="AL401" s="32">
        <f t="shared" si="346"/>
        <v>1.42177701480753</v>
      </c>
      <c r="AM401" s="32" t="str">
        <f t="shared" si="326"/>
        <v>1-0,674055118939078i</v>
      </c>
      <c r="AN401" s="32">
        <f t="shared" si="347"/>
        <v>1.20596447019304</v>
      </c>
      <c r="AO401" s="32">
        <f t="shared" si="348"/>
        <v>-0.5931002583004</v>
      </c>
      <c r="AP401" s="30" t="str">
        <f t="shared" si="349"/>
        <v>3,36126322641957-3,06837991521308i</v>
      </c>
      <c r="AQ401" s="32">
        <f t="shared" si="350"/>
        <v>13.1624396508275</v>
      </c>
      <c r="AR401" s="31">
        <f t="shared" si="351"/>
        <v>-42.3918637616694</v>
      </c>
      <c r="AS401" t="str">
        <f t="shared" si="327"/>
        <v>-0,000100699300699301</v>
      </c>
      <c r="AT401" t="str">
        <f t="shared" si="328"/>
        <v>0,0954515402533637i</v>
      </c>
      <c r="AU401">
        <f t="shared" si="352"/>
        <v>0.0954515402533637</v>
      </c>
      <c r="AV401">
        <f t="shared" si="353"/>
        <v>1.5707963267949</v>
      </c>
      <c r="AW401" t="str">
        <f t="shared" si="329"/>
        <v>1+4,88694378550218i</v>
      </c>
      <c r="AX401">
        <f t="shared" si="354"/>
        <v>4.98820805126033</v>
      </c>
      <c r="AY401">
        <f t="shared" si="355"/>
        <v>1.36895583990437</v>
      </c>
      <c r="AZ401" t="str">
        <f t="shared" si="330"/>
        <v>1+233,637503957944i</v>
      </c>
      <c r="BA401">
        <f t="shared" si="356"/>
        <v>233.639644015519</v>
      </c>
      <c r="BB401">
        <f t="shared" si="357"/>
        <v>1.56651621817959</v>
      </c>
      <c r="BC401" s="30" t="str">
        <f t="shared" si="358"/>
        <v>-0,0096987678036699+0,0484523113140625i</v>
      </c>
      <c r="BD401" s="32">
        <f t="shared" si="359"/>
        <v>-26.1230901859444</v>
      </c>
      <c r="BE401" s="31">
        <f t="shared" si="360"/>
        <v>101.319375874178</v>
      </c>
      <c r="BF401" s="30" t="str">
        <f t="shared" si="361"/>
        <v>0,0776978628194661-0,04464254473365i</v>
      </c>
      <c r="BG401" s="68">
        <f t="shared" si="362"/>
        <v>-20.9528906881326</v>
      </c>
      <c r="BH401" s="31">
        <f t="shared" si="363"/>
        <v>-29.8802075406205</v>
      </c>
      <c r="BI401" s="30" t="str">
        <f t="shared" si="369"/>
        <v>0,116069987321663+0,192620476586087i</v>
      </c>
      <c r="BJ401" s="68">
        <f t="shared" si="364"/>
        <v>-12.9606505351169</v>
      </c>
      <c r="BK401" s="31">
        <f t="shared" si="370"/>
        <v>58.9275121125087</v>
      </c>
      <c r="BL401" s="32">
        <f t="shared" si="365"/>
        <v>-20.9528906881326</v>
      </c>
      <c r="BM401" s="31">
        <f t="shared" si="366"/>
        <v>-29.8802075406205</v>
      </c>
      <c r="BO401">
        <f t="shared" si="367"/>
        <v>0</v>
      </c>
      <c r="BP401">
        <f t="shared" si="368"/>
        <v>0</v>
      </c>
    </row>
    <row r="402" spans="14:68">
      <c r="N402" s="7">
        <v>84</v>
      </c>
      <c r="O402" s="18">
        <f t="shared" si="371"/>
        <v>69183.0970918937</v>
      </c>
      <c r="P402" s="86" t="str">
        <f t="shared" si="319"/>
        <v>75</v>
      </c>
      <c r="Q402" s="4" t="str">
        <f t="shared" si="320"/>
        <v>1+709,994024616509i</v>
      </c>
      <c r="R402" s="4">
        <f t="shared" si="331"/>
        <v>709.994728847439</v>
      </c>
      <c r="S402" s="4">
        <f t="shared" si="332"/>
        <v>1.56938786516836</v>
      </c>
      <c r="T402" s="4" t="str">
        <f t="shared" si="321"/>
        <v>1+6,81594263631849i</v>
      </c>
      <c r="U402" s="4">
        <f t="shared" si="333"/>
        <v>6.88890949436732</v>
      </c>
      <c r="V402" s="4">
        <f t="shared" si="334"/>
        <v>1.42512077808273</v>
      </c>
      <c r="W402" t="str">
        <f t="shared" si="322"/>
        <v>1-3,57532705253314i</v>
      </c>
      <c r="X402" s="4">
        <f t="shared" si="335"/>
        <v>3.71254138462796</v>
      </c>
      <c r="Y402" s="4">
        <f t="shared" si="336"/>
        <v>-1.29807075784058</v>
      </c>
      <c r="Z402" t="str">
        <f t="shared" si="323"/>
        <v>0,960928155728764+1,12194432686276i</v>
      </c>
      <c r="AA402" s="4">
        <f t="shared" si="337"/>
        <v>1.47720749830612</v>
      </c>
      <c r="AB402" s="4">
        <f t="shared" si="338"/>
        <v>0.862549583473083</v>
      </c>
      <c r="AC402" s="67" t="str">
        <f t="shared" si="339"/>
        <v>-1,22519321709806-1,35783733723265i</v>
      </c>
      <c r="AD402" s="68">
        <f t="shared" si="340"/>
        <v>5.24372836233188</v>
      </c>
      <c r="AE402" s="31">
        <f t="shared" si="341"/>
        <v>-132.060321900041</v>
      </c>
      <c r="AF402" s="32" t="str">
        <f t="shared" si="342"/>
        <v>249,914648392112</v>
      </c>
      <c r="AG402" s="32" t="str">
        <f t="shared" si="324"/>
        <v>1+456,424730110613i</v>
      </c>
      <c r="AH402" s="32">
        <f t="shared" si="343"/>
        <v>456.425825580177</v>
      </c>
      <c r="AI402" s="32">
        <f t="shared" si="344"/>
        <v>1.56860538854384</v>
      </c>
      <c r="AJ402" s="32" t="str">
        <f t="shared" si="325"/>
        <v>1+6,81594263631849i</v>
      </c>
      <c r="AK402" s="32">
        <f t="shared" si="345"/>
        <v>6.88890949436732</v>
      </c>
      <c r="AL402" s="32">
        <f t="shared" si="346"/>
        <v>1.42512077808273</v>
      </c>
      <c r="AM402" s="32" t="str">
        <f t="shared" si="326"/>
        <v>1-0,689755879621327i</v>
      </c>
      <c r="AN402" s="32">
        <f t="shared" si="347"/>
        <v>1.21480993306451</v>
      </c>
      <c r="AO402" s="32">
        <f t="shared" si="348"/>
        <v>-0.603817577374279</v>
      </c>
      <c r="AP402" s="30" t="str">
        <f t="shared" si="349"/>
        <v>3,36120744948909-3,11439369446195i</v>
      </c>
      <c r="AQ402" s="32">
        <f t="shared" si="350"/>
        <v>13.2216063211801</v>
      </c>
      <c r="AR402" s="31">
        <f t="shared" si="351"/>
        <v>-42.8172613838603</v>
      </c>
      <c r="AS402" t="str">
        <f t="shared" si="327"/>
        <v>-0,000100699300699301</v>
      </c>
      <c r="AT402" t="str">
        <f t="shared" si="328"/>
        <v>0,0976748922436713i</v>
      </c>
      <c r="AU402">
        <f t="shared" si="352"/>
        <v>0.0976748922436713</v>
      </c>
      <c r="AV402">
        <f t="shared" si="353"/>
        <v>1.5707963267949</v>
      </c>
      <c r="AW402" t="str">
        <f t="shared" si="329"/>
        <v>1+5,00077532937434i</v>
      </c>
      <c r="AX402">
        <f t="shared" si="354"/>
        <v>5.09977978886138</v>
      </c>
      <c r="AY402">
        <f t="shared" si="355"/>
        <v>1.37343058285995</v>
      </c>
      <c r="AZ402" t="str">
        <f t="shared" si="330"/>
        <v>1+239,07962053413i</v>
      </c>
      <c r="BA402">
        <f t="shared" si="356"/>
        <v>239.081711878478</v>
      </c>
      <c r="BB402">
        <f t="shared" si="357"/>
        <v>1.56661364419674</v>
      </c>
      <c r="BC402" s="30" t="str">
        <f t="shared" si="358"/>
        <v>-0,00927903543510817+0,0474333355159374i</v>
      </c>
      <c r="BD402" s="32">
        <f t="shared" si="359"/>
        <v>-26.3152310554076</v>
      </c>
      <c r="BE402" s="31">
        <f t="shared" si="360"/>
        <v>101.068574088015</v>
      </c>
      <c r="BF402" s="30" t="str">
        <f t="shared" si="361"/>
        <v>0,0757753652693304-0,0455155801711683i</v>
      </c>
      <c r="BG402" s="68">
        <f t="shared" si="362"/>
        <v>-21.0715026930758</v>
      </c>
      <c r="BH402" s="31">
        <f t="shared" si="363"/>
        <v>-30.991747812026</v>
      </c>
      <c r="BI402" s="30" t="str">
        <f t="shared" si="369"/>
        <v>0,116537318009575+0,188331850140074i</v>
      </c>
      <c r="BJ402" s="68">
        <f t="shared" si="364"/>
        <v>-13.0936247342275</v>
      </c>
      <c r="BK402" s="31">
        <f t="shared" si="370"/>
        <v>58.2513127041544</v>
      </c>
      <c r="BL402" s="32">
        <f t="shared" si="365"/>
        <v>-21.0715026930758</v>
      </c>
      <c r="BM402" s="31">
        <f t="shared" si="366"/>
        <v>-30.991747812026</v>
      </c>
      <c r="BO402">
        <f t="shared" si="367"/>
        <v>0</v>
      </c>
      <c r="BP402">
        <f t="shared" si="368"/>
        <v>0</v>
      </c>
    </row>
    <row r="403" spans="14:68">
      <c r="N403" s="7">
        <v>85</v>
      </c>
      <c r="O403" s="18">
        <f t="shared" si="371"/>
        <v>70794.5784384138</v>
      </c>
      <c r="P403" s="86" t="str">
        <f t="shared" ref="P403:P466" si="372">COMPLEX(Adc,0)</f>
        <v>75</v>
      </c>
      <c r="Q403" s="4" t="str">
        <f t="shared" ref="Q403:Q466" si="373">IMSUM(COMPLEX(1,0),IMDIV(COMPLEX(0,2*PI()*O403),COMPLEX(wp_lf,0)))</f>
        <v>1+726,531909951283i</v>
      </c>
      <c r="R403" s="4">
        <f t="shared" si="331"/>
        <v>726.532598151975</v>
      </c>
      <c r="S403" s="4">
        <f t="shared" si="332"/>
        <v>1.56941992562819</v>
      </c>
      <c r="T403" s="4" t="str">
        <f t="shared" ref="T403:T466" si="374">IMSUM(COMPLEX(1,0),IMDIV(COMPLEX(0,2*PI()*O403),COMPLEX(wz_esr,0)))</f>
        <v>1+6,97470633553232i</v>
      </c>
      <c r="U403" s="4">
        <f t="shared" si="333"/>
        <v>7.04602926951873</v>
      </c>
      <c r="V403" s="4">
        <f t="shared" si="334"/>
        <v>1.42839160122457</v>
      </c>
      <c r="W403" t="str">
        <f t="shared" ref="W403:W466" si="375">IMSUB(COMPLEX(1,0),IMDIV(COMPLEX(0,2*PI()*O403),COMPLEX(wz_rhp,0)))</f>
        <v>1-3,65860711796896i</v>
      </c>
      <c r="X403" s="4">
        <f t="shared" si="335"/>
        <v>3.7928097821606</v>
      </c>
      <c r="Y403" s="4">
        <f t="shared" si="336"/>
        <v>-1.30398516506584</v>
      </c>
      <c r="Z403" t="str">
        <f t="shared" ref="Z403:Z466" si="376">IMSUM(COMPLEX(1,0),IMDIV(COMPLEX(0,2*PI()*O403),COMPLEX(Q*(wsl/2),0)),IMDIV(IMPOWER(COMPLEX(0,2*PI()*O403),2),IMPOWER(COMPLEX(wsl/2,0),2)))</f>
        <v>0,95908675643859+1,14807776740781i</v>
      </c>
      <c r="AA403" s="4">
        <f t="shared" si="337"/>
        <v>1.49597124517552</v>
      </c>
      <c r="AB403" s="4">
        <f t="shared" si="338"/>
        <v>0.87484854912747</v>
      </c>
      <c r="AC403" s="67" t="str">
        <f t="shared" si="339"/>
        <v>-1,25576026835144-1,35049354672992i</v>
      </c>
      <c r="AD403" s="68">
        <f t="shared" si="340"/>
        <v>5.31576835746197</v>
      </c>
      <c r="AE403" s="31">
        <f t="shared" si="341"/>
        <v>-132.918303864219</v>
      </c>
      <c r="AF403" s="32" t="str">
        <f t="shared" si="342"/>
        <v>249,914648392112</v>
      </c>
      <c r="AG403" s="32" t="str">
        <f t="shared" ref="AG403:AG466" si="377">IMSUM(COMPLEX(1,0),IMDIV(COMPLEX(0,2*PI()*O403),COMPLEX(wp_lf_DCM,0)))</f>
        <v>1+467,056227825824i</v>
      </c>
      <c r="AH403" s="32">
        <f t="shared" si="343"/>
        <v>467.057298359514</v>
      </c>
      <c r="AI403" s="32">
        <f t="shared" si="344"/>
        <v>1.56865526023296</v>
      </c>
      <c r="AJ403" s="32" t="str">
        <f t="shared" ref="AJ403:AJ466" si="378">IMSUM(COMPLEX(1,0),IMDIV(COMPLEX(0,2*PI()*O403),COMPLEX(wz1_dcm,0)))</f>
        <v>1+6,97470633553232i</v>
      </c>
      <c r="AK403" s="32">
        <f t="shared" si="345"/>
        <v>7.04602926951873</v>
      </c>
      <c r="AL403" s="32">
        <f t="shared" si="346"/>
        <v>1.42839160122457</v>
      </c>
      <c r="AM403" s="32" t="str">
        <f t="shared" ref="AM403:AM466" si="379">IMSUB(COMPLEX(1,0),IMDIV(COMPLEX(0,2*PI()*O403),COMPLEX(wz2_dcm,0)))</f>
        <v>1-0,705822358000951i</v>
      </c>
      <c r="AN403" s="32">
        <f t="shared" si="347"/>
        <v>1.22400375859473</v>
      </c>
      <c r="AO403" s="32">
        <f t="shared" si="348"/>
        <v>-0.614622907978026</v>
      </c>
      <c r="AP403" s="30" t="str">
        <f t="shared" si="349"/>
        <v>3,3611541829105-3,16205875546844i</v>
      </c>
      <c r="AQ403" s="32">
        <f t="shared" si="350"/>
        <v>13.2829748780498</v>
      </c>
      <c r="AR403" s="31">
        <f t="shared" si="351"/>
        <v>-43.2518142994412</v>
      </c>
      <c r="AS403" t="str">
        <f t="shared" ref="AS403:AS466" si="380">COMPLEX(Adc_ea,0)</f>
        <v>-0,000100699300699301</v>
      </c>
      <c r="AT403" t="str">
        <f t="shared" ref="AT403:AT466" si="381">COMPLEX(0,2*PI()*O403*wp0_ea)</f>
        <v>0,0999500327547266i</v>
      </c>
      <c r="AU403">
        <f t="shared" si="352"/>
        <v>0.0999500327547266</v>
      </c>
      <c r="AV403">
        <f t="shared" si="353"/>
        <v>1.5707963267949</v>
      </c>
      <c r="AW403" t="str">
        <f t="shared" ref="AW403:AW466" si="382">IMSUM(COMPLEX(1,0),IMDIV(COMPLEX(0,2*PI()*O403),COMPLEX(wp1_ea,0)))</f>
        <v>1+5,11725835051924i</v>
      </c>
      <c r="AX403">
        <f t="shared" si="354"/>
        <v>5.21405149820741</v>
      </c>
      <c r="AY403">
        <f t="shared" si="355"/>
        <v>1.37781121994472</v>
      </c>
      <c r="AZ403" t="str">
        <f t="shared" ref="AZ403:AZ466" si="383">IMSUM(COMPLEX(1,0),IMDIV(COMPLEX(0,2*PI()*O403),COMPLEX(wz_ea,0)))</f>
        <v>1+244,648500289717i</v>
      </c>
      <c r="BA403">
        <f t="shared" si="356"/>
        <v>244.650544029658</v>
      </c>
      <c r="BB403">
        <f t="shared" si="357"/>
        <v>1.56670885260372</v>
      </c>
      <c r="BC403" s="30" t="str">
        <f t="shared" si="358"/>
        <v>-0,00887677163918079+0,0464322302214531i</v>
      </c>
      <c r="BD403" s="32">
        <f t="shared" si="359"/>
        <v>-26.5077123321496</v>
      </c>
      <c r="BE403" s="31">
        <f t="shared" si="360"/>
        <v>100.823037111373</v>
      </c>
      <c r="BF403" s="30" t="str">
        <f t="shared" si="361"/>
        <v>0,0738535244100625-0,046319727068539i</v>
      </c>
      <c r="BG403" s="68">
        <f t="shared" si="362"/>
        <v>-21.1919439746876</v>
      </c>
      <c r="BH403" s="31">
        <f t="shared" si="363"/>
        <v>-32.0952667528465</v>
      </c>
      <c r="BI403" s="30" t="str">
        <f t="shared" si="369"/>
        <v>0,116985241981898+0,184134758312666i</v>
      </c>
      <c r="BJ403" s="68">
        <f t="shared" si="364"/>
        <v>-13.2247374540998</v>
      </c>
      <c r="BK403" s="31">
        <f t="shared" si="370"/>
        <v>57.5712228119317</v>
      </c>
      <c r="BL403" s="32">
        <f t="shared" si="365"/>
        <v>-21.1919439746876</v>
      </c>
      <c r="BM403" s="31">
        <f t="shared" si="366"/>
        <v>-32.0952667528465</v>
      </c>
      <c r="BO403">
        <f t="shared" si="367"/>
        <v>0</v>
      </c>
      <c r="BP403">
        <f t="shared" si="368"/>
        <v>0</v>
      </c>
    </row>
    <row r="404" spans="14:68">
      <c r="N404" s="7">
        <v>86</v>
      </c>
      <c r="O404" s="18">
        <f t="shared" si="371"/>
        <v>72443.5960074991</v>
      </c>
      <c r="P404" s="86" t="str">
        <f t="shared" si="372"/>
        <v>75</v>
      </c>
      <c r="Q404" s="4" t="str">
        <f t="shared" si="373"/>
        <v>1+743,455012121501i</v>
      </c>
      <c r="R404" s="4">
        <f t="shared" ref="R404:R467" si="384">IMABS(Q404)</f>
        <v>743.455684656847</v>
      </c>
      <c r="S404" s="4">
        <f t="shared" ref="S404:S467" si="385">IMARGUMENT(Q404)</f>
        <v>1.56945125630559</v>
      </c>
      <c r="T404" s="4" t="str">
        <f t="shared" si="374"/>
        <v>1+7,13716811636641i</v>
      </c>
      <c r="U404" s="4">
        <f t="shared" ref="U404:U467" si="386">IMABS(T404)</f>
        <v>7.20688342636935</v>
      </c>
      <c r="V404" s="4">
        <f t="shared" ref="V404:V467" si="387">IMARGUMENT(T404)</f>
        <v>1.43159093838336</v>
      </c>
      <c r="W404" t="str">
        <f t="shared" si="375"/>
        <v>1-3,74382702532613i</v>
      </c>
      <c r="X404" s="4">
        <f t="shared" ref="X404:X467" si="388">IMABS(W404)</f>
        <v>3.87507945667728</v>
      </c>
      <c r="Y404" s="4">
        <f t="shared" ref="Y404:Y467" si="389">IMARGUMENT(W404)</f>
        <v>-1.30978348022237</v>
      </c>
      <c r="Z404" t="str">
        <f t="shared" si="376"/>
        <v>0,957158574673488+1,17481993398175i</v>
      </c>
      <c r="AA404" s="4">
        <f t="shared" ref="AA404:AA467" si="390">IMABS(Z404)</f>
        <v>1.51537269816764</v>
      </c>
      <c r="AB404" s="4">
        <f t="shared" ref="AB404:AB467" si="391">IMARGUMENT(Z404)</f>
        <v>0.887139253799809</v>
      </c>
      <c r="AC404" s="67" t="str">
        <f t="shared" ref="AC404:AC467" si="392">(IMDIV(IMPRODUCT(P404,T404,W404),IMPRODUCT(Q404,Z404)))</f>
        <v>-1,2861717130897-1,34246316907528i</v>
      </c>
      <c r="AD404" s="68">
        <f t="shared" ref="AD404:AD467" si="393">20*LOG(IMABS(AC404))</f>
        <v>5.38629655155769</v>
      </c>
      <c r="AE404" s="31">
        <f t="shared" ref="AE404:AE467" si="394">(180/PI())*IMARGUMENT(AC404)</f>
        <v>-133.773214955088</v>
      </c>
      <c r="AF404" s="32" t="str">
        <f t="shared" ref="AF404:AF467" si="395">COMPLEX($B$68,0)</f>
        <v>249,914648392112</v>
      </c>
      <c r="AG404" s="32" t="str">
        <f t="shared" si="377"/>
        <v>1+477,93536493525i</v>
      </c>
      <c r="AH404" s="32">
        <f t="shared" ref="AH404:AH467" si="396">IMABS(AG404)</f>
        <v>477.936411100672</v>
      </c>
      <c r="AI404" s="32">
        <f t="shared" ref="AI404:AI467" si="397">IMARGUMENT(AG404)</f>
        <v>1.56870399671413</v>
      </c>
      <c r="AJ404" s="32" t="str">
        <f t="shared" si="378"/>
        <v>1+7,13716811636641i</v>
      </c>
      <c r="AK404" s="32">
        <f t="shared" ref="AK404:AK467" si="398">IMABS(AJ404)</f>
        <v>7.20688342636935</v>
      </c>
      <c r="AL404" s="32">
        <f t="shared" ref="AL404:AL467" si="399">IMARGUMENT(AJ404)</f>
        <v>1.43159093838336</v>
      </c>
      <c r="AM404" s="32" t="str">
        <f t="shared" si="379"/>
        <v>1-0,722263072737452i</v>
      </c>
      <c r="AN404" s="32">
        <f t="shared" ref="AN404:AN467" si="400">IMABS(AM404)</f>
        <v>1.23355743532279</v>
      </c>
      <c r="AO404" s="32">
        <f t="shared" ref="AO404:AO467" si="401">IMARGUMENT(AM404)</f>
        <v>-0.625511886710437</v>
      </c>
      <c r="AP404" s="30" t="str">
        <f t="shared" ref="AP404:AP467" si="402">(IMDIV(IMPRODUCT(AF404,AJ404,AM404),IMPRODUCT(AG404)))</f>
        <v>3,36110331370135-3,21140037161323i</v>
      </c>
      <c r="AQ404" s="32">
        <f t="shared" ref="AQ404:AQ467" si="403">20*LOG(IMABS(AP404))</f>
        <v>13.3465693397257</v>
      </c>
      <c r="AR404" s="31">
        <f t="shared" ref="AR404:AR467" si="404">(180/PI())*IMARGUMENT(AP404)</f>
        <v>-43.6951907022571</v>
      </c>
      <c r="AS404" t="str">
        <f t="shared" si="380"/>
        <v>-0,000100699300699301</v>
      </c>
      <c r="AT404" t="str">
        <f t="shared" si="381"/>
        <v>0,102278168096144i</v>
      </c>
      <c r="AU404">
        <f t="shared" ref="AU404:AU467" si="405">IMABS(AT404)</f>
        <v>0.102278168096144</v>
      </c>
      <c r="AV404">
        <f t="shared" ref="AV404:AV467" si="406">IMARGUMENT(AT404)</f>
        <v>1.5707963267949</v>
      </c>
      <c r="AW404" t="str">
        <f t="shared" si="382"/>
        <v>1+5,23645460977652i</v>
      </c>
      <c r="AX404">
        <f t="shared" ref="AX404:AX467" si="407">IMABS(AW404)</f>
        <v>5.33108402487241</v>
      </c>
      <c r="AY404">
        <f t="shared" ref="AY404:AY467" si="408">IMARGUMENT(AW404)</f>
        <v>1.38209940099393</v>
      </c>
      <c r="AZ404" t="str">
        <f t="shared" si="383"/>
        <v>1+250,347095918464i</v>
      </c>
      <c r="BA404">
        <f t="shared" ref="BA404:BA467" si="409">IMABS(AZ404)</f>
        <v>250.34909313758</v>
      </c>
      <c r="BB404">
        <f t="shared" ref="BB404:BB467" si="410">IMARGUMENT(AZ404)</f>
        <v>1.56680189387436</v>
      </c>
      <c r="BC404" s="30" t="str">
        <f t="shared" ref="BC404:BC467" si="411">IMPRODUCT(AS404,IMDIV(AZ404,IMPRODUCT(AT404,AW404)))</f>
        <v>-0,00849130860193386+0,0454489150783198i</v>
      </c>
      <c r="BD404" s="32">
        <f t="shared" ref="BD404:BD467" si="412">20*LOG(IMABS(BC404))</f>
        <v>-26.7005198244628</v>
      </c>
      <c r="BE404" s="31">
        <f t="shared" ref="BE404:BE467" si="413">(180/PI())*IMARGUMENT(BC404)</f>
        <v>100.582673307594</v>
      </c>
      <c r="BF404" s="30" t="str">
        <f t="shared" ref="BF404:BF467" si="414">IMPRODUCT(AC404,BC404)</f>
        <v>0,0719347754979971-0,0470558399090026i</v>
      </c>
      <c r="BG404" s="68">
        <f t="shared" ref="BG404:BG467" si="415">20*LOG(IMABS(BF404))</f>
        <v>-21.3142232729051</v>
      </c>
      <c r="BH404" s="31">
        <f t="shared" ref="BH404:BH467" si="416">(180/PI())*IMARGUMENT(BF404)</f>
        <v>-33.190541647494</v>
      </c>
      <c r="BI404" s="30" t="str">
        <f t="shared" si="369"/>
        <v>0,117414497292314+0,180027490673605i</v>
      </c>
      <c r="BJ404" s="68">
        <f t="shared" ref="BJ404:BJ467" si="417">20*LOG(IMABS(BI404))</f>
        <v>-13.3539504847371</v>
      </c>
      <c r="BK404" s="31">
        <f t="shared" si="370"/>
        <v>56.8874826053371</v>
      </c>
      <c r="BL404" s="32">
        <f t="shared" ref="BL404:BL467" si="418">IF($B$31=0,BJ404,BG404)</f>
        <v>-21.3142232729051</v>
      </c>
      <c r="BM404" s="31">
        <f t="shared" ref="BM404:BM467" si="419">IF($B$31=0,BK404,BH404)</f>
        <v>-33.190541647494</v>
      </c>
      <c r="BO404">
        <f t="shared" ref="BO404:BO467" si="420">SUM((BL405&lt;0)*(BL404&gt;0))*O404</f>
        <v>0</v>
      </c>
      <c r="BP404">
        <f t="shared" ref="BP404:BP467" si="421">IF(BO404&gt;0,BM404,0)</f>
        <v>0</v>
      </c>
    </row>
    <row r="405" spans="14:68">
      <c r="N405" s="7">
        <v>87</v>
      </c>
      <c r="O405" s="18">
        <f t="shared" si="371"/>
        <v>74131.0241300919</v>
      </c>
      <c r="P405" s="86" t="str">
        <f t="shared" si="372"/>
        <v>75</v>
      </c>
      <c r="Q405" s="4" t="str">
        <f t="shared" si="373"/>
        <v>1+760,772303979936i</v>
      </c>
      <c r="R405" s="4">
        <f t="shared" si="384"/>
        <v>760.772961206522</v>
      </c>
      <c r="S405" s="4">
        <f t="shared" si="385"/>
        <v>1.56948187381226</v>
      </c>
      <c r="T405" s="4" t="str">
        <f t="shared" si="374"/>
        <v>1+7,30341411820739i</v>
      </c>
      <c r="U405" s="4">
        <f t="shared" si="386"/>
        <v>7.37155735120002</v>
      </c>
      <c r="V405" s="4">
        <f t="shared" si="387"/>
        <v>1.4347202237718</v>
      </c>
      <c r="W405" t="str">
        <f t="shared" si="375"/>
        <v>1-3,83103195932754i</v>
      </c>
      <c r="X405" s="4">
        <f t="shared" si="388"/>
        <v>3.95939463471236</v>
      </c>
      <c r="Y405" s="4">
        <f t="shared" si="389"/>
        <v>-1.31546721748391</v>
      </c>
      <c r="Z405" t="str">
        <f t="shared" si="376"/>
        <v>0,955139520501418+1,20218500563527i</v>
      </c>
      <c r="AA405" s="4">
        <f t="shared" si="390"/>
        <v>1.53542837390676</v>
      </c>
      <c r="AB405" s="4">
        <f t="shared" si="391"/>
        <v>0.899416250399446</v>
      </c>
      <c r="AC405" s="67" t="str">
        <f t="shared" si="392"/>
        <v>-1,31639616053883-1,33375322359635i</v>
      </c>
      <c r="AD405" s="68">
        <f t="shared" si="393"/>
        <v>5.4552934326204</v>
      </c>
      <c r="AE405" s="31">
        <f t="shared" si="394"/>
        <v>-134.624748610553</v>
      </c>
      <c r="AF405" s="32" t="str">
        <f t="shared" si="395"/>
        <v>249,914648392112</v>
      </c>
      <c r="AG405" s="32" t="str">
        <f t="shared" si="377"/>
        <v>1+489,067909701387i</v>
      </c>
      <c r="AH405" s="32">
        <f t="shared" si="396"/>
        <v>489.068932053227</v>
      </c>
      <c r="AI405" s="32">
        <f t="shared" si="397"/>
        <v>1.56875162382715</v>
      </c>
      <c r="AJ405" s="32" t="str">
        <f t="shared" si="378"/>
        <v>1+7,30341411820739i</v>
      </c>
      <c r="AK405" s="32">
        <f t="shared" si="398"/>
        <v>7.37155735120002</v>
      </c>
      <c r="AL405" s="32">
        <f t="shared" si="399"/>
        <v>1.4347202237718</v>
      </c>
      <c r="AM405" s="32" t="str">
        <f t="shared" si="379"/>
        <v>1-0,7390867409154i</v>
      </c>
      <c r="AN405" s="32">
        <f t="shared" si="400"/>
        <v>1.24348269412845</v>
      </c>
      <c r="AO405" s="32">
        <f t="shared" si="401"/>
        <v>-0.636479958405916</v>
      </c>
      <c r="AP405" s="30" t="str">
        <f t="shared" si="402"/>
        <v>3,36105473396415-3,26244470515971i</v>
      </c>
      <c r="AQ405" s="32">
        <f t="shared" si="403"/>
        <v>13.4124126266126</v>
      </c>
      <c r="AR405" s="31">
        <f t="shared" si="404"/>
        <v>-44.1470489067221</v>
      </c>
      <c r="AS405" t="str">
        <f t="shared" si="380"/>
        <v>-0,000100699300699301</v>
      </c>
      <c r="AT405" t="str">
        <f t="shared" si="381"/>
        <v>0,104660532676097i</v>
      </c>
      <c r="AU405">
        <f t="shared" si="405"/>
        <v>0.104660532676097</v>
      </c>
      <c r="AV405">
        <f t="shared" si="406"/>
        <v>1.5707963267949</v>
      </c>
      <c r="AW405" t="str">
        <f t="shared" si="382"/>
        <v>1+5,35842730658057i</v>
      </c>
      <c r="AX405">
        <f t="shared" si="407"/>
        <v>5.4509396621049</v>
      </c>
      <c r="AY405">
        <f t="shared" si="408"/>
        <v>1.38629676852792</v>
      </c>
      <c r="AZ405" t="str">
        <f t="shared" si="383"/>
        <v>1+256,178428891203i</v>
      </c>
      <c r="BA405">
        <f t="shared" si="409"/>
        <v>256.180380648412</v>
      </c>
      <c r="BB405">
        <f t="shared" si="410"/>
        <v>1.56689281733395</v>
      </c>
      <c r="BC405" s="30" t="str">
        <f t="shared" si="411"/>
        <v>-0,00812199898052164+0,0444832927377586i</v>
      </c>
      <c r="BD405" s="32">
        <f t="shared" si="412"/>
        <v>-26.8936398852715</v>
      </c>
      <c r="BE405" s="31">
        <f t="shared" si="413"/>
        <v>100.347391393324</v>
      </c>
      <c r="BF405" s="30" t="str">
        <f t="shared" si="414"/>
        <v>0,0700215033590246-0,0477248934457932i</v>
      </c>
      <c r="BG405" s="68">
        <f t="shared" si="415"/>
        <v>-21.4383464526511</v>
      </c>
      <c r="BH405" s="31">
        <f t="shared" si="416"/>
        <v>-34.2773572172289</v>
      </c>
      <c r="BI405" s="30" t="str">
        <f t="shared" si="369"/>
        <v>0,117825799737636+0,176008354207872i</v>
      </c>
      <c r="BJ405" s="68">
        <f t="shared" si="417"/>
        <v>-13.4812272586589</v>
      </c>
      <c r="BK405" s="31">
        <f t="shared" si="370"/>
        <v>56.2003424866021</v>
      </c>
      <c r="BL405" s="32">
        <f t="shared" si="418"/>
        <v>-21.4383464526511</v>
      </c>
      <c r="BM405" s="31">
        <f t="shared" si="419"/>
        <v>-34.2773572172289</v>
      </c>
      <c r="BO405">
        <f t="shared" si="420"/>
        <v>0</v>
      </c>
      <c r="BP405">
        <f t="shared" si="421"/>
        <v>0</v>
      </c>
    </row>
    <row r="406" spans="14:68">
      <c r="N406" s="7">
        <v>88</v>
      </c>
      <c r="O406" s="18">
        <f t="shared" si="371"/>
        <v>75857.7575029185</v>
      </c>
      <c r="P406" s="86" t="str">
        <f t="shared" si="372"/>
        <v>75</v>
      </c>
      <c r="Q406" s="4" t="str">
        <f t="shared" si="373"/>
        <v>1+778,49296738395i</v>
      </c>
      <c r="R406" s="4">
        <f t="shared" si="384"/>
        <v>778.493609650245</v>
      </c>
      <c r="S406" s="4">
        <f t="shared" si="385"/>
        <v>1.56951179438177</v>
      </c>
      <c r="T406" s="4" t="str">
        <f t="shared" si="374"/>
        <v>1+7,47353248688593i</v>
      </c>
      <c r="U406" s="4">
        <f t="shared" si="386"/>
        <v>7.54013844916255</v>
      </c>
      <c r="V406" s="4">
        <f t="shared" si="387"/>
        <v>1.43778087130321</v>
      </c>
      <c r="W406" t="str">
        <f t="shared" si="375"/>
        <v>1-3,92026815718347i</v>
      </c>
      <c r="X406" s="4">
        <f t="shared" si="388"/>
        <v>4.04580059125838</v>
      </c>
      <c r="Y406" s="4">
        <f t="shared" si="389"/>
        <v>-1.32103792093762</v>
      </c>
      <c r="Z406" t="str">
        <f t="shared" si="376"/>
        <v>0,953025311237783+1,23018749169156i</v>
      </c>
      <c r="AA406" s="4">
        <f t="shared" si="390"/>
        <v>1.55615504001826</v>
      </c>
      <c r="AB406" s="4">
        <f t="shared" si="391"/>
        <v>0.911674189273344</v>
      </c>
      <c r="AC406" s="67" t="str">
        <f t="shared" si="392"/>
        <v>-1,34640294513428-1,32437243962732i</v>
      </c>
      <c r="AD406" s="68">
        <f t="shared" si="393"/>
        <v>5.52274283197777</v>
      </c>
      <c r="AE406" s="31">
        <f t="shared" si="394"/>
        <v>-135.472606706601</v>
      </c>
      <c r="AF406" s="32" t="str">
        <f t="shared" si="395"/>
        <v>249,914648392112</v>
      </c>
      <c r="AG406" s="32" t="str">
        <f t="shared" si="377"/>
        <v>1+500,459764746825i</v>
      </c>
      <c r="AH406" s="32">
        <f t="shared" si="396"/>
        <v>500.460763827143</v>
      </c>
      <c r="AI406" s="32">
        <f t="shared" si="397"/>
        <v>1.56879816682369</v>
      </c>
      <c r="AJ406" s="32" t="str">
        <f t="shared" si="378"/>
        <v>1+7,47353248688593i</v>
      </c>
      <c r="AK406" s="32">
        <f t="shared" si="398"/>
        <v>7.54013844916255</v>
      </c>
      <c r="AL406" s="32">
        <f t="shared" si="399"/>
        <v>1.43778087130321</v>
      </c>
      <c r="AM406" s="32" t="str">
        <f t="shared" si="379"/>
        <v>1-0,756302282666348i</v>
      </c>
      <c r="AN406" s="32">
        <f t="shared" si="400"/>
        <v>1.25379150689671</v>
      </c>
      <c r="AO406" s="32">
        <f t="shared" si="401"/>
        <v>-0.647522383218607</v>
      </c>
      <c r="AP406" s="30" t="str">
        <f t="shared" si="402"/>
        <v>3,36100834065744-3,31521882112879i</v>
      </c>
      <c r="AQ406" s="32">
        <f t="shared" si="403"/>
        <v>13.4805264386004</v>
      </c>
      <c r="AR406" s="31">
        <f t="shared" si="404"/>
        <v>-44.6070377752205</v>
      </c>
      <c r="AS406" t="str">
        <f t="shared" si="380"/>
        <v>-0,000100699300699301</v>
      </c>
      <c r="AT406" t="str">
        <f t="shared" si="381"/>
        <v>0,107098389655821i</v>
      </c>
      <c r="AU406">
        <f t="shared" si="405"/>
        <v>0.107098389655821</v>
      </c>
      <c r="AV406">
        <f t="shared" si="406"/>
        <v>1.5707963267949</v>
      </c>
      <c r="AW406" t="str">
        <f t="shared" si="382"/>
        <v>1+5,48324111246972i</v>
      </c>
      <c r="AX406">
        <f t="shared" si="407"/>
        <v>5.57368218482882</v>
      </c>
      <c r="AY406">
        <f t="shared" si="408"/>
        <v>1.39040495616861</v>
      </c>
      <c r="AZ406" t="str">
        <f t="shared" si="383"/>
        <v>1+262,145591057861i</v>
      </c>
      <c r="BA406">
        <f t="shared" si="409"/>
        <v>262.147498387979</v>
      </c>
      <c r="BB406">
        <f t="shared" si="410"/>
        <v>1.56698167118529</v>
      </c>
      <c r="BC406" s="30" t="str">
        <f t="shared" si="411"/>
        <v>-0,00776821572430884+0,0435352502019221i</v>
      </c>
      <c r="BD406" s="32">
        <f t="shared" si="412"/>
        <v>-27.0870593952524</v>
      </c>
      <c r="BE406" s="31">
        <f t="shared" si="413"/>
        <v>100.11710053074</v>
      </c>
      <c r="BF406" s="30" t="str">
        <f t="shared" si="414"/>
        <v>0,0681160340493532-0,0483279782786715i</v>
      </c>
      <c r="BG406" s="68">
        <f t="shared" si="415"/>
        <v>-21.5643165632747</v>
      </c>
      <c r="BH406" s="31">
        <f t="shared" si="416"/>
        <v>-35.3555061758605</v>
      </c>
      <c r="BI406" s="30" t="str">
        <f t="shared" si="369"/>
        <v>0,118219843010535+0,172075674017086i</v>
      </c>
      <c r="BJ406" s="68">
        <f t="shared" si="417"/>
        <v>-13.606532956652</v>
      </c>
      <c r="BK406" s="31">
        <f t="shared" si="370"/>
        <v>55.5100627555196</v>
      </c>
      <c r="BL406" s="32">
        <f t="shared" si="418"/>
        <v>-21.5643165632747</v>
      </c>
      <c r="BM406" s="31">
        <f t="shared" si="419"/>
        <v>-35.3555061758605</v>
      </c>
      <c r="BO406">
        <f t="shared" si="420"/>
        <v>0</v>
      </c>
      <c r="BP406">
        <f t="shared" si="421"/>
        <v>0</v>
      </c>
    </row>
    <row r="407" spans="14:68">
      <c r="N407" s="7">
        <v>89</v>
      </c>
      <c r="O407" s="18">
        <f t="shared" si="371"/>
        <v>77624.7116628691</v>
      </c>
      <c r="P407" s="86" t="str">
        <f t="shared" si="372"/>
        <v>75</v>
      </c>
      <c r="Q407" s="4" t="str">
        <f t="shared" si="373"/>
        <v>1+796,626398063845i</v>
      </c>
      <c r="R407" s="4">
        <f t="shared" si="384"/>
        <v>796.627025710386</v>
      </c>
      <c r="S407" s="4">
        <f t="shared" si="385"/>
        <v>1.5695410338782</v>
      </c>
      <c r="T407" s="4" t="str">
        <f t="shared" si="374"/>
        <v>1+7,64761342141292i</v>
      </c>
      <c r="U407" s="4">
        <f t="shared" si="386"/>
        <v>7.71271619102992</v>
      </c>
      <c r="V407" s="4">
        <f t="shared" si="387"/>
        <v>1.44077427428592</v>
      </c>
      <c r="W407" t="str">
        <f t="shared" si="375"/>
        <v>1-4,01158293310722i</v>
      </c>
      <c r="X407" s="4">
        <f t="shared" si="388"/>
        <v>4.13434367574796</v>
      </c>
      <c r="Y407" s="4">
        <f t="shared" si="389"/>
        <v>-1.32649716067104</v>
      </c>
      <c r="Z407" t="str">
        <f t="shared" si="376"/>
        <v>0,950811462361277+1,25884223943941i</v>
      </c>
      <c r="AA407" s="4">
        <f t="shared" si="390"/>
        <v>1.57756971977609</v>
      </c>
      <c r="AB407" s="4">
        <f t="shared" si="391"/>
        <v>0.923907832722905</v>
      </c>
      <c r="AC407" s="67" t="str">
        <f t="shared" si="392"/>
        <v>-1,37616224285043-1,31433118656424i</v>
      </c>
      <c r="AD407" s="68">
        <f t="shared" si="393"/>
        <v>5.58863183830423</v>
      </c>
      <c r="AE407" s="31">
        <f t="shared" si="394"/>
        <v>-136.316500182852</v>
      </c>
      <c r="AF407" s="32" t="str">
        <f t="shared" si="395"/>
        <v>249,914648392112</v>
      </c>
      <c r="AG407" s="32" t="str">
        <f t="shared" si="377"/>
        <v>1+512,1169701839i</v>
      </c>
      <c r="AH407" s="32">
        <f t="shared" si="396"/>
        <v>512.117946522417</v>
      </c>
      <c r="AI407" s="32">
        <f t="shared" si="397"/>
        <v>1.56884365038064</v>
      </c>
      <c r="AJ407" s="32" t="str">
        <f t="shared" si="378"/>
        <v>1+7,64761342141292i</v>
      </c>
      <c r="AK407" s="32">
        <f t="shared" si="398"/>
        <v>7.71271619102992</v>
      </c>
      <c r="AL407" s="32">
        <f t="shared" si="399"/>
        <v>1.44077427428592</v>
      </c>
      <c r="AM407" s="32" t="str">
        <f t="shared" si="379"/>
        <v>1-0,773918825898411i</v>
      </c>
      <c r="AN407" s="32">
        <f t="shared" si="400"/>
        <v>1.2644960850394</v>
      </c>
      <c r="AO407" s="32">
        <f t="shared" si="401"/>
        <v>-0.658634244691265</v>
      </c>
      <c r="AP407" s="30" t="str">
        <f t="shared" si="402"/>
        <v>3,36096403537719-3,36975070165229i</v>
      </c>
      <c r="AQ407" s="32">
        <f t="shared" si="403"/>
        <v>13.5509311359056</v>
      </c>
      <c r="AR407" s="31">
        <f t="shared" si="404"/>
        <v>-45.0747971986977</v>
      </c>
      <c r="AS407" t="str">
        <f t="shared" si="380"/>
        <v>-0,000100699300699301</v>
      </c>
      <c r="AT407" t="str">
        <f t="shared" si="381"/>
        <v>0,109593031619355i</v>
      </c>
      <c r="AU407">
        <f t="shared" si="405"/>
        <v>0.109593031619355</v>
      </c>
      <c r="AV407">
        <f t="shared" si="406"/>
        <v>1.5707963267949</v>
      </c>
      <c r="AW407" t="str">
        <f t="shared" si="382"/>
        <v>1+5,61096220537599i</v>
      </c>
      <c r="AX407">
        <f t="shared" si="407"/>
        <v>5.69937688437585</v>
      </c>
      <c r="AY407">
        <f t="shared" si="408"/>
        <v>1.39442558718181</v>
      </c>
      <c r="AZ407" t="str">
        <f t="shared" si="383"/>
        <v>1+268,251746286805i</v>
      </c>
      <c r="BA407">
        <f t="shared" si="409"/>
        <v>268.253610201094</v>
      </c>
      <c r="BB407">
        <f t="shared" si="410"/>
        <v>1.56706850253424</v>
      </c>
      <c r="BC407" s="30" t="str">
        <f t="shared" si="411"/>
        <v>-0,00742935185069235+0,0426046601050723i</v>
      </c>
      <c r="BD407" s="32">
        <f t="shared" si="412"/>
        <v>-27.2807657461208</v>
      </c>
      <c r="BE407" s="31">
        <f t="shared" si="413"/>
        <v>99.8917104125288</v>
      </c>
      <c r="BF407" s="30" t="str">
        <f t="shared" si="414"/>
        <v>0,0662206269748396-0,0488662957727528i</v>
      </c>
      <c r="BG407" s="68">
        <f t="shared" si="415"/>
        <v>-21.6921339078166</v>
      </c>
      <c r="BH407" s="31">
        <f t="shared" si="416"/>
        <v>-36.4247897703235</v>
      </c>
      <c r="BI407" s="30" t="str">
        <f t="shared" si="369"/>
        <v>0,118597298906385+0,16822779396431i</v>
      </c>
      <c r="BJ407" s="68">
        <f t="shared" si="417"/>
        <v>-13.7298346102151</v>
      </c>
      <c r="BK407" s="31">
        <f t="shared" si="370"/>
        <v>54.8169132138311</v>
      </c>
      <c r="BL407" s="32">
        <f t="shared" si="418"/>
        <v>-21.6921339078166</v>
      </c>
      <c r="BM407" s="31">
        <f t="shared" si="419"/>
        <v>-36.4247897703235</v>
      </c>
      <c r="BO407">
        <f t="shared" si="420"/>
        <v>0</v>
      </c>
      <c r="BP407">
        <f t="shared" si="421"/>
        <v>0</v>
      </c>
    </row>
    <row r="408" spans="14:68">
      <c r="N408" s="7">
        <v>90</v>
      </c>
      <c r="O408" s="18">
        <f t="shared" si="371"/>
        <v>79432.8234724282</v>
      </c>
      <c r="P408" s="86" t="str">
        <f t="shared" si="372"/>
        <v>75</v>
      </c>
      <c r="Q408" s="4" t="str">
        <f t="shared" si="373"/>
        <v>1+815,182210604593i</v>
      </c>
      <c r="R408" s="4">
        <f t="shared" si="384"/>
        <v>815.182823964165</v>
      </c>
      <c r="S408" s="4">
        <f t="shared" si="385"/>
        <v>1.56956960780449</v>
      </c>
      <c r="T408" s="4" t="str">
        <f t="shared" si="374"/>
        <v>1+7,8257492218041i</v>
      </c>
      <c r="U408" s="4">
        <f t="shared" si="386"/>
        <v>7.88938216101663</v>
      </c>
      <c r="V408" s="4">
        <f t="shared" si="387"/>
        <v>1.44370180516998</v>
      </c>
      <c r="W408" t="str">
        <f t="shared" si="375"/>
        <v>1-4,1050247034017i</v>
      </c>
      <c r="X408" s="4">
        <f t="shared" si="388"/>
        <v>4.22507133851468</v>
      </c>
      <c r="Y408" s="4">
        <f t="shared" si="389"/>
        <v>-1.33184652906486</v>
      </c>
      <c r="Z408" t="str">
        <f t="shared" si="376"/>
        <v>0,948493278001617+1,28816444200537i</v>
      </c>
      <c r="AA408" s="4">
        <f t="shared" si="390"/>
        <v>1.59968969742924</v>
      </c>
      <c r="AB408" s="4">
        <f t="shared" si="391"/>
        <v>0.936112068894789</v>
      </c>
      <c r="AC408" s="67" t="str">
        <f t="shared" si="392"/>
        <v>-1,40564518013485-1,3036413947011i</v>
      </c>
      <c r="AD408" s="68">
        <f t="shared" si="393"/>
        <v>5.65295070262534</v>
      </c>
      <c r="AE408" s="31">
        <f t="shared" si="394"/>
        <v>-137.156149641039</v>
      </c>
      <c r="AF408" s="32" t="str">
        <f t="shared" si="395"/>
        <v>249,914648392112</v>
      </c>
      <c r="AG408" s="32" t="str">
        <f t="shared" si="377"/>
        <v>1+524,045706817238i</v>
      </c>
      <c r="AH408" s="32">
        <f t="shared" si="396"/>
        <v>524.046660931618</v>
      </c>
      <c r="AI408" s="32">
        <f t="shared" si="397"/>
        <v>1.56888809861325</v>
      </c>
      <c r="AJ408" s="32" t="str">
        <f t="shared" si="378"/>
        <v>1+7,8257492218041i</v>
      </c>
      <c r="AK408" s="32">
        <f t="shared" si="398"/>
        <v>7.88938216101663</v>
      </c>
      <c r="AL408" s="32">
        <f t="shared" si="399"/>
        <v>1.44370180516998</v>
      </c>
      <c r="AM408" s="32" t="str">
        <f t="shared" si="379"/>
        <v>1-0,791945711135995i</v>
      </c>
      <c r="AN408" s="32">
        <f t="shared" si="400"/>
        <v>1.27560887790368</v>
      </c>
      <c r="AO408" s="32">
        <f t="shared" si="401"/>
        <v>-0.669810458791573</v>
      </c>
      <c r="AP408" s="30" t="str">
        <f t="shared" si="402"/>
        <v>3,36092172414816-3,42606926081214i</v>
      </c>
      <c r="AQ408" s="32">
        <f t="shared" si="403"/>
        <v>13.6236456241624</v>
      </c>
      <c r="AR408" s="31">
        <f t="shared" si="404"/>
        <v>-45.5499586296638</v>
      </c>
      <c r="AS408" t="str">
        <f t="shared" si="380"/>
        <v>-0,000100699300699301</v>
      </c>
      <c r="AT408" t="str">
        <f t="shared" si="381"/>
        <v>0,112145781258889i</v>
      </c>
      <c r="AU408">
        <f t="shared" si="405"/>
        <v>0.112145781258889</v>
      </c>
      <c r="AV408">
        <f t="shared" si="406"/>
        <v>1.5707963267949</v>
      </c>
      <c r="AW408" t="str">
        <f t="shared" si="382"/>
        <v>1+5,74165830471343i</v>
      </c>
      <c r="AX408">
        <f t="shared" si="407"/>
        <v>5.82809060397011</v>
      </c>
      <c r="AY408">
        <f t="shared" si="408"/>
        <v>1.39836027313941</v>
      </c>
      <c r="AZ408" t="str">
        <f t="shared" si="383"/>
        <v>1+274,500132142363i</v>
      </c>
      <c r="BA408">
        <f t="shared" si="409"/>
        <v>274.501953629068</v>
      </c>
      <c r="BB408">
        <f t="shared" si="410"/>
        <v>1.5671533574147</v>
      </c>
      <c r="BC408" s="30" t="str">
        <f t="shared" si="411"/>
        <v>-0,00710482018098729+0,0416913819297898i</v>
      </c>
      <c r="BD408" s="32">
        <f t="shared" si="412"/>
        <v>-27.4747468241194</v>
      </c>
      <c r="BE408" s="31">
        <f t="shared" si="413"/>
        <v>99.6711313399704</v>
      </c>
      <c r="BF408" s="30" t="str">
        <f t="shared" si="414"/>
        <v>0,064337467529097-0,0493411523729274i</v>
      </c>
      <c r="BG408" s="68">
        <f t="shared" si="415"/>
        <v>-21.8217961214941</v>
      </c>
      <c r="BH408" s="31">
        <f t="shared" si="416"/>
        <v>-37.4850183010683</v>
      </c>
      <c r="BI408" s="30" t="str">
        <f t="shared" si="369"/>
        <v>0,118958817577985+0,164463077263267i</v>
      </c>
      <c r="BJ408" s="68">
        <f t="shared" si="417"/>
        <v>-13.851101199957</v>
      </c>
      <c r="BK408" s="31">
        <f t="shared" si="370"/>
        <v>54.1211727103067</v>
      </c>
      <c r="BL408" s="32">
        <f t="shared" si="418"/>
        <v>-21.8217961214941</v>
      </c>
      <c r="BM408" s="31">
        <f t="shared" si="419"/>
        <v>-37.4850183010683</v>
      </c>
      <c r="BO408">
        <f t="shared" si="420"/>
        <v>0</v>
      </c>
      <c r="BP408">
        <f t="shared" si="421"/>
        <v>0</v>
      </c>
    </row>
    <row r="409" spans="14:68">
      <c r="N409" s="7">
        <v>91</v>
      </c>
      <c r="O409" s="18">
        <f t="shared" si="371"/>
        <v>81283.05161641</v>
      </c>
      <c r="P409" s="86" t="str">
        <f t="shared" si="372"/>
        <v>75</v>
      </c>
      <c r="Q409" s="4" t="str">
        <f t="shared" si="373"/>
        <v>1+834,170243543613i</v>
      </c>
      <c r="R409" s="4">
        <f t="shared" si="384"/>
        <v>834.170842941427</v>
      </c>
      <c r="S409" s="4">
        <f t="shared" si="385"/>
        <v>1.56959753131076</v>
      </c>
      <c r="T409" s="4" t="str">
        <f t="shared" si="374"/>
        <v>1+8,00803433801869i</v>
      </c>
      <c r="U409" s="4">
        <f t="shared" si="386"/>
        <v>8.07023010569627</v>
      </c>
      <c r="V409" s="4">
        <f t="shared" si="387"/>
        <v>1.44656481534257</v>
      </c>
      <c r="W409" t="str">
        <f t="shared" si="375"/>
        <v>1-4,20064301213034i</v>
      </c>
      <c r="X409" s="4">
        <f t="shared" si="388"/>
        <v>4.31803215774957</v>
      </c>
      <c r="Y409" s="4">
        <f t="shared" si="389"/>
        <v>-1.33708763728763</v>
      </c>
      <c r="Z409" t="str">
        <f t="shared" si="376"/>
        <v>0,946065840978972+1,31816964640934i</v>
      </c>
      <c r="AA409" s="4">
        <f t="shared" si="390"/>
        <v>1.62253252422938</v>
      </c>
      <c r="AB409" s="4">
        <f t="shared" si="391"/>
        <v>0.948281924970514</v>
      </c>
      <c r="AC409" s="67" t="str">
        <f t="shared" si="392"/>
        <v>-1,43482393463446-1,29231646772809i</v>
      </c>
      <c r="AD409" s="68">
        <f t="shared" si="393"/>
        <v>5.71569273500461</v>
      </c>
      <c r="AE409" s="31">
        <f t="shared" si="394"/>
        <v>-137.991285912061</v>
      </c>
      <c r="AF409" s="32" t="str">
        <f t="shared" si="395"/>
        <v>249,914648392112</v>
      </c>
      <c r="AG409" s="32" t="str">
        <f t="shared" si="377"/>
        <v>1+536,252299420894i</v>
      </c>
      <c r="AH409" s="32">
        <f t="shared" si="396"/>
        <v>536.253231817018</v>
      </c>
      <c r="AI409" s="32">
        <f t="shared" si="397"/>
        <v>1.56893153508784</v>
      </c>
      <c r="AJ409" s="32" t="str">
        <f t="shared" si="378"/>
        <v>1+8,00803433801869i</v>
      </c>
      <c r="AK409" s="32">
        <f t="shared" si="398"/>
        <v>8.07023010569627</v>
      </c>
      <c r="AL409" s="32">
        <f t="shared" si="399"/>
        <v>1.44656481534257</v>
      </c>
      <c r="AM409" s="32" t="str">
        <f t="shared" si="379"/>
        <v>1-0,810392496472262i</v>
      </c>
      <c r="AN409" s="32">
        <f t="shared" si="400"/>
        <v>1.28714257110024</v>
      </c>
      <c r="AO409" s="32">
        <f t="shared" si="401"/>
        <v>-0.68104578388937</v>
      </c>
      <c r="AP409" s="30" t="str">
        <f t="shared" si="402"/>
        <v>3,36088131722458-3,4842043599738i</v>
      </c>
      <c r="AQ409" s="32">
        <f t="shared" si="403"/>
        <v>13.6986872445323</v>
      </c>
      <c r="AR409" s="31">
        <f t="shared" si="404"/>
        <v>-46.0321456663036</v>
      </c>
      <c r="AS409" t="str">
        <f t="shared" si="380"/>
        <v>-0,000100699300699301</v>
      </c>
      <c r="AT409" t="str">
        <f t="shared" si="381"/>
        <v>0,114757992076071i</v>
      </c>
      <c r="AU409">
        <f t="shared" si="405"/>
        <v>0.114757992076071</v>
      </c>
      <c r="AV409">
        <f t="shared" si="406"/>
        <v>1.5707963267949</v>
      </c>
      <c r="AW409" t="str">
        <f t="shared" si="382"/>
        <v>1+5,87539870728384i</v>
      </c>
      <c r="AX409">
        <f t="shared" si="407"/>
        <v>5.95989177498658</v>
      </c>
      <c r="AY409">
        <f t="shared" si="408"/>
        <v>1.40221061269506</v>
      </c>
      <c r="AZ409" t="str">
        <f t="shared" si="383"/>
        <v>1+280,894061601421i</v>
      </c>
      <c r="BA409">
        <f t="shared" si="409"/>
        <v>280.895841626292</v>
      </c>
      <c r="BB409">
        <f t="shared" si="410"/>
        <v>1.56723628081296</v>
      </c>
      <c r="BC409" s="30" t="str">
        <f t="shared" si="411"/>
        <v>-0,00679405304134503+0,0407952631596991i</v>
      </c>
      <c r="BD409" s="32">
        <f t="shared" si="412"/>
        <v>-27.6689909937409</v>
      </c>
      <c r="BE409" s="31">
        <f t="shared" si="413"/>
        <v>99.4552742944823</v>
      </c>
      <c r="BF409" s="30" t="str">
        <f t="shared" si="414"/>
        <v>0,0624686603034781-0,0497539533732994i</v>
      </c>
      <c r="BG409" s="68">
        <f t="shared" si="415"/>
        <v>-21.9532982587363</v>
      </c>
      <c r="BH409" s="31">
        <f t="shared" si="416"/>
        <v>-38.5360116175788</v>
      </c>
      <c r="BI409" s="30" t="str">
        <f t="shared" si="369"/>
        <v>0,119305027832413+0,16077990701324i</v>
      </c>
      <c r="BJ409" s="68">
        <f t="shared" si="417"/>
        <v>-13.9703037492087</v>
      </c>
      <c r="BK409" s="31">
        <f t="shared" si="370"/>
        <v>53.4231286281786</v>
      </c>
      <c r="BL409" s="32">
        <f t="shared" si="418"/>
        <v>-21.9532982587363</v>
      </c>
      <c r="BM409" s="31">
        <f t="shared" si="419"/>
        <v>-38.5360116175788</v>
      </c>
      <c r="BO409">
        <f t="shared" si="420"/>
        <v>0</v>
      </c>
      <c r="BP409">
        <f t="shared" si="421"/>
        <v>0</v>
      </c>
    </row>
    <row r="410" spans="14:68">
      <c r="N410" s="7">
        <v>92</v>
      </c>
      <c r="O410" s="18">
        <f t="shared" si="371"/>
        <v>83176.3771102672</v>
      </c>
      <c r="P410" s="86" t="str">
        <f t="shared" si="372"/>
        <v>75</v>
      </c>
      <c r="Q410" s="4" t="str">
        <f t="shared" si="373"/>
        <v>1+853,600564587309i</v>
      </c>
      <c r="R410" s="4">
        <f t="shared" si="384"/>
        <v>853.601150341172</v>
      </c>
      <c r="S410" s="4">
        <f t="shared" si="385"/>
        <v>1.56962481920222</v>
      </c>
      <c r="T410" s="4" t="str">
        <f t="shared" si="374"/>
        <v>1+8,19456542003818i</v>
      </c>
      <c r="U410" s="4">
        <f t="shared" si="386"/>
        <v>8.25535598404366</v>
      </c>
      <c r="V410" s="4">
        <f t="shared" si="387"/>
        <v>1.44936463496862</v>
      </c>
      <c r="W410" t="str">
        <f t="shared" si="375"/>
        <v>1-4,2984885573861i</v>
      </c>
      <c r="X410" s="4">
        <f t="shared" si="388"/>
        <v>4.41327586696994</v>
      </c>
      <c r="Y410" s="4">
        <f t="shared" si="389"/>
        <v>-1.3422221119879</v>
      </c>
      <c r="Z410" t="str">
        <f t="shared" si="376"/>
        <v>0,943524002373964+1,34887376180788i</v>
      </c>
      <c r="AA410" s="4">
        <f t="shared" si="390"/>
        <v>1.64611602517852</v>
      </c>
      <c r="AB410" s="4">
        <f t="shared" si="391"/>
        <v>0.960412579587389</v>
      </c>
      <c r="AC410" s="67" t="str">
        <f t="shared" si="392"/>
        <v>-1,46367182701701-1,28037118784885i</v>
      </c>
      <c r="AD410" s="68">
        <f t="shared" si="393"/>
        <v>5.77685419365795</v>
      </c>
      <c r="AE410" s="31">
        <f t="shared" si="394"/>
        <v>-138.821650587723</v>
      </c>
      <c r="AF410" s="32" t="str">
        <f t="shared" si="395"/>
        <v>249,914648392112</v>
      </c>
      <c r="AG410" s="32" t="str">
        <f t="shared" si="377"/>
        <v>1+548,743220091842i</v>
      </c>
      <c r="AH410" s="32">
        <f t="shared" si="396"/>
        <v>548.744131264074</v>
      </c>
      <c r="AI410" s="32">
        <f t="shared" si="397"/>
        <v>1.56897398283436</v>
      </c>
      <c r="AJ410" s="32" t="str">
        <f t="shared" si="378"/>
        <v>1+8,19456542003818i</v>
      </c>
      <c r="AK410" s="32">
        <f t="shared" si="398"/>
        <v>8.25535598404366</v>
      </c>
      <c r="AL410" s="32">
        <f t="shared" si="399"/>
        <v>1.44936463496862</v>
      </c>
      <c r="AM410" s="32" t="str">
        <f t="shared" si="379"/>
        <v>1-0,829268962636971i</v>
      </c>
      <c r="AN410" s="32">
        <f t="shared" si="400"/>
        <v>1.29911008478612</v>
      </c>
      <c r="AO410" s="32">
        <f t="shared" si="401"/>
        <v>-0.692334831638972</v>
      </c>
      <c r="AP410" s="30" t="str">
        <f t="shared" si="402"/>
        <v>3,36084272889977-3,54418682362156i</v>
      </c>
      <c r="AQ410" s="32">
        <f t="shared" si="403"/>
        <v>13.7760716695892</v>
      </c>
      <c r="AR410" s="31">
        <f t="shared" si="404"/>
        <v>-46.5209746858323</v>
      </c>
      <c r="AS410" t="str">
        <f t="shared" si="380"/>
        <v>-0,000100699300699301</v>
      </c>
      <c r="AT410" t="str">
        <f t="shared" si="381"/>
        <v>0,117431049099654i</v>
      </c>
      <c r="AU410">
        <f t="shared" si="405"/>
        <v>0.117431049099654</v>
      </c>
      <c r="AV410">
        <f t="shared" si="406"/>
        <v>1.5707963267949</v>
      </c>
      <c r="AW410" t="str">
        <f t="shared" si="382"/>
        <v>1+6,01225432401895i</v>
      </c>
      <c r="AX410">
        <f t="shared" si="407"/>
        <v>6.09485045400497</v>
      </c>
      <c r="AY410">
        <f t="shared" si="408"/>
        <v>1.40597819046749</v>
      </c>
      <c r="AZ410" t="str">
        <f t="shared" si="383"/>
        <v>1+287,436924810012i</v>
      </c>
      <c r="BA410">
        <f t="shared" si="409"/>
        <v>287.438664316818</v>
      </c>
      <c r="BB410">
        <f t="shared" si="410"/>
        <v>1.56731731669154</v>
      </c>
      <c r="BC410" s="30" t="str">
        <f t="shared" si="411"/>
        <v>-0,00649650193330592+0,039916140370359i</v>
      </c>
      <c r="BD410" s="32">
        <f t="shared" si="412"/>
        <v>-27.8634870817097</v>
      </c>
      <c r="BE410" s="31">
        <f t="shared" si="413"/>
        <v>99.2440510029663</v>
      </c>
      <c r="BF410" s="30" t="str">
        <f t="shared" si="414"/>
        <v>0,0606162229142794-0,0501061962061415i</v>
      </c>
      <c r="BG410" s="68">
        <f t="shared" si="415"/>
        <v>-22.0866328880517</v>
      </c>
      <c r="BH410" s="31">
        <f t="shared" si="416"/>
        <v>-39.577599584757</v>
      </c>
      <c r="BI410" s="30" t="str">
        <f t="shared" si="369"/>
        <v>0,11963653746462+0,157176686681118i</v>
      </c>
      <c r="BJ410" s="68">
        <f t="shared" si="417"/>
        <v>-14.0874154121205</v>
      </c>
      <c r="BK410" s="31">
        <f t="shared" si="370"/>
        <v>52.723076317134</v>
      </c>
      <c r="BL410" s="32">
        <f t="shared" si="418"/>
        <v>-22.0866328880517</v>
      </c>
      <c r="BM410" s="31">
        <f t="shared" si="419"/>
        <v>-39.577599584757</v>
      </c>
      <c r="BO410">
        <f t="shared" si="420"/>
        <v>0</v>
      </c>
      <c r="BP410">
        <f t="shared" si="421"/>
        <v>0</v>
      </c>
    </row>
    <row r="411" spans="14:68">
      <c r="N411" s="7">
        <v>93</v>
      </c>
      <c r="O411" s="18">
        <f t="shared" si="371"/>
        <v>85113.8038202377</v>
      </c>
      <c r="P411" s="86" t="str">
        <f t="shared" si="372"/>
        <v>75</v>
      </c>
      <c r="Q411" s="4" t="str">
        <f t="shared" si="373"/>
        <v>1+873,483475949089i</v>
      </c>
      <c r="R411" s="4">
        <f t="shared" si="384"/>
        <v>873.484048369575</v>
      </c>
      <c r="S411" s="4">
        <f t="shared" si="385"/>
        <v>1.56965148594713</v>
      </c>
      <c r="T411" s="4" t="str">
        <f t="shared" si="374"/>
        <v>1+8,38544136911126i</v>
      </c>
      <c r="U411" s="4">
        <f t="shared" si="386"/>
        <v>8.444858018629</v>
      </c>
      <c r="V411" s="4">
        <f t="shared" si="387"/>
        <v>1.45210257287351</v>
      </c>
      <c r="W411" t="str">
        <f t="shared" si="375"/>
        <v>1-4,3986132181722i</v>
      </c>
      <c r="X411" s="4">
        <f t="shared" si="388"/>
        <v>4.51085338301736</v>
      </c>
      <c r="Y411" s="4">
        <f t="shared" si="389"/>
        <v>-1.34725159217857</v>
      </c>
      <c r="Z411" t="str">
        <f t="shared" si="376"/>
        <v>0,940862370606123+1,38029306792938i</v>
      </c>
      <c r="AA411" s="4">
        <f t="shared" si="390"/>
        <v>1.67045830651246</v>
      </c>
      <c r="AB411" s="4">
        <f t="shared" si="391"/>
        <v>0.972499374431698</v>
      </c>
      <c r="AC411" s="67" t="str">
        <f t="shared" si="392"/>
        <v>-1,49216340331373-1,2678216145331i</v>
      </c>
      <c r="AD411" s="68">
        <f t="shared" si="393"/>
        <v>5.83643416727955</v>
      </c>
      <c r="AE411" s="31">
        <f t="shared" si="394"/>
        <v>-139.64699651363</v>
      </c>
      <c r="AF411" s="32" t="str">
        <f t="shared" si="395"/>
        <v>249,914648392112</v>
      </c>
      <c r="AG411" s="32" t="str">
        <f t="shared" si="377"/>
        <v>1+561,525091681557i</v>
      </c>
      <c r="AH411" s="32">
        <f t="shared" si="396"/>
        <v>561.525982113011</v>
      </c>
      <c r="AI411" s="32">
        <f t="shared" si="397"/>
        <v>1.56901546435855</v>
      </c>
      <c r="AJ411" s="32" t="str">
        <f t="shared" si="378"/>
        <v>1+8,38544136911126i</v>
      </c>
      <c r="AK411" s="32">
        <f t="shared" si="398"/>
        <v>8.444858018629</v>
      </c>
      <c r="AL411" s="32">
        <f t="shared" si="399"/>
        <v>1.45210257287351</v>
      </c>
      <c r="AM411" s="32" t="str">
        <f t="shared" si="379"/>
        <v>1-0,848585118182343i</v>
      </c>
      <c r="AN411" s="32">
        <f t="shared" si="400"/>
        <v>1.31152457193929</v>
      </c>
      <c r="AO411" s="32">
        <f t="shared" si="401"/>
        <v>-0.703672078721457</v>
      </c>
      <c r="AP411" s="30" t="str">
        <f t="shared" si="402"/>
        <v>3,36080587732439-3,60604845570445i</v>
      </c>
      <c r="AQ411" s="32">
        <f t="shared" si="403"/>
        <v>13.855812805712</v>
      </c>
      <c r="AR411" s="31">
        <f t="shared" si="404"/>
        <v>-47.0160555247007</v>
      </c>
      <c r="AS411" t="str">
        <f t="shared" si="380"/>
        <v>-0,000100699300699301</v>
      </c>
      <c r="AT411" t="str">
        <f t="shared" si="381"/>
        <v>0,120166369619853i</v>
      </c>
      <c r="AU411">
        <f t="shared" si="405"/>
        <v>0.120166369619853</v>
      </c>
      <c r="AV411">
        <f t="shared" si="406"/>
        <v>1.5707963267949</v>
      </c>
      <c r="AW411" t="str">
        <f t="shared" si="382"/>
        <v>1+6,15229771757826i</v>
      </c>
      <c r="AX411">
        <f t="shared" si="407"/>
        <v>6.23303836068082</v>
      </c>
      <c r="AY411">
        <f t="shared" si="408"/>
        <v>1.40966457602555</v>
      </c>
      <c r="AZ411" t="str">
        <f t="shared" si="383"/>
        <v>1+294,132190880815i</v>
      </c>
      <c r="BA411">
        <f t="shared" si="409"/>
        <v>294.133890791844</v>
      </c>
      <c r="BB411">
        <f t="shared" si="410"/>
        <v>1.56739650801246</v>
      </c>
      <c r="BC411" s="30" t="str">
        <f t="shared" si="411"/>
        <v>-0,00621163717823916+0,0390538402601042i</v>
      </c>
      <c r="BD411" s="32">
        <f t="shared" si="412"/>
        <v>-28.0582243612472</v>
      </c>
      <c r="BE411" s="31">
        <f t="shared" si="413"/>
        <v>99.0373739972947</v>
      </c>
      <c r="BF411" s="30" t="str">
        <f t="shared" si="414"/>
        <v>0,0587820804843145-0,0503994633187788i</v>
      </c>
      <c r="BG411" s="68">
        <f t="shared" si="415"/>
        <v>-22.2217901939677</v>
      </c>
      <c r="BH411" s="31">
        <f t="shared" si="416"/>
        <v>-40.6096225163354</v>
      </c>
      <c r="BI411" s="30" t="str">
        <f t="shared" si="369"/>
        <v>0,119953933622844+0,153651840532232i</v>
      </c>
      <c r="BJ411" s="68">
        <f t="shared" si="417"/>
        <v>-14.2024115555353</v>
      </c>
      <c r="BK411" s="31">
        <f t="shared" si="370"/>
        <v>52.0213184725941</v>
      </c>
      <c r="BL411" s="32">
        <f t="shared" si="418"/>
        <v>-22.2217901939677</v>
      </c>
      <c r="BM411" s="31">
        <f t="shared" si="419"/>
        <v>-40.6096225163354</v>
      </c>
      <c r="BO411">
        <f t="shared" si="420"/>
        <v>0</v>
      </c>
      <c r="BP411">
        <f t="shared" si="421"/>
        <v>0</v>
      </c>
    </row>
    <row r="412" spans="14:68">
      <c r="N412" s="7">
        <v>94</v>
      </c>
      <c r="O412" s="18">
        <f t="shared" si="371"/>
        <v>87096.3589956081</v>
      </c>
      <c r="P412" s="86" t="str">
        <f t="shared" si="372"/>
        <v>75</v>
      </c>
      <c r="Q412" s="4" t="str">
        <f t="shared" si="373"/>
        <v>1+893,829519811736i</v>
      </c>
      <c r="R412" s="4">
        <f t="shared" si="384"/>
        <v>893.83007920235</v>
      </c>
      <c r="S412" s="4">
        <f t="shared" si="385"/>
        <v>1.56967754568439</v>
      </c>
      <c r="T412" s="4" t="str">
        <f t="shared" si="374"/>
        <v>1+8,58076339019268i</v>
      </c>
      <c r="U412" s="4">
        <f t="shared" si="386"/>
        <v>8.63883674799281</v>
      </c>
      <c r="V412" s="4">
        <f t="shared" si="387"/>
        <v>1.45477991646466</v>
      </c>
      <c r="W412" t="str">
        <f t="shared" si="375"/>
        <v>1-4,5010700819091i</v>
      </c>
      <c r="X412" s="4">
        <f t="shared" si="388"/>
        <v>4.61081683460287</v>
      </c>
      <c r="Y412" s="4">
        <f t="shared" si="389"/>
        <v>-1.35217772630809</v>
      </c>
      <c r="Z412" t="str">
        <f t="shared" si="376"/>
        <v>0,938075299997617+1,41244422370583i</v>
      </c>
      <c r="AA412" s="4">
        <f t="shared" si="390"/>
        <v>1.69557776393346</v>
      </c>
      <c r="AB412" s="4">
        <f t="shared" si="391"/>
        <v>0.984537824954085</v>
      </c>
      <c r="AC412" s="67" t="str">
        <f t="shared" si="392"/>
        <v>-1,52027450733688-1,25468497796197i</v>
      </c>
      <c r="AD412" s="68">
        <f t="shared" si="393"/>
        <v>5.8944344513904</v>
      </c>
      <c r="AE412" s="31">
        <f t="shared" si="394"/>
        <v>-140.467088240258</v>
      </c>
      <c r="AF412" s="32" t="str">
        <f t="shared" si="395"/>
        <v>249,914648392112</v>
      </c>
      <c r="AG412" s="32" t="str">
        <f t="shared" si="377"/>
        <v>1+574,604691307545i</v>
      </c>
      <c r="AH412" s="32">
        <f t="shared" si="396"/>
        <v>574.605561470335</v>
      </c>
      <c r="AI412" s="32">
        <f t="shared" si="397"/>
        <v>1.56905600165389</v>
      </c>
      <c r="AJ412" s="32" t="str">
        <f t="shared" si="378"/>
        <v>1+8,58076339019268i</v>
      </c>
      <c r="AK412" s="32">
        <f t="shared" si="398"/>
        <v>8.63883674799281</v>
      </c>
      <c r="AL412" s="32">
        <f t="shared" si="399"/>
        <v>1.45477991646466</v>
      </c>
      <c r="AM412" s="32" t="str">
        <f t="shared" si="379"/>
        <v>1-0,868351204789726i</v>
      </c>
      <c r="AN412" s="32">
        <f t="shared" si="400"/>
        <v>1.32439941666393</v>
      </c>
      <c r="AO412" s="32">
        <f t="shared" si="401"/>
        <v>-0.71505187939277</v>
      </c>
      <c r="AP412" s="30" t="str">
        <f t="shared" si="402"/>
        <v>3,36077068433284-3,66982205650124i</v>
      </c>
      <c r="AQ412" s="32">
        <f t="shared" si="403"/>
        <v>13.9379227026827</v>
      </c>
      <c r="AR412" s="31">
        <f t="shared" si="404"/>
        <v>-47.5169922027236</v>
      </c>
      <c r="AS412" t="str">
        <f t="shared" si="380"/>
        <v>-0,000100699300699301</v>
      </c>
      <c r="AT412" t="str">
        <f t="shared" si="381"/>
        <v>0,122965403939815i</v>
      </c>
      <c r="AU412">
        <f t="shared" si="405"/>
        <v>0.122965403939815</v>
      </c>
      <c r="AV412">
        <f t="shared" si="406"/>
        <v>1.5707963267949</v>
      </c>
      <c r="AW412" t="str">
        <f t="shared" si="382"/>
        <v>1+6,2956031408227i</v>
      </c>
      <c r="AX412">
        <f t="shared" si="407"/>
        <v>6.37452891645623</v>
      </c>
      <c r="AY412">
        <f t="shared" si="408"/>
        <v>1.4132713229694</v>
      </c>
      <c r="AZ412" t="str">
        <f t="shared" si="383"/>
        <v>1+300,983409732523i</v>
      </c>
      <c r="BA412">
        <f t="shared" si="409"/>
        <v>300.985070949069</v>
      </c>
      <c r="BB412">
        <f t="shared" si="410"/>
        <v>1.56747389676006</v>
      </c>
      <c r="BC412" s="30" t="str">
        <f t="shared" si="411"/>
        <v>-0,00593894753958544+0,0382081806227264i</v>
      </c>
      <c r="BD412" s="32">
        <f t="shared" si="412"/>
        <v>-28.2531925366421</v>
      </c>
      <c r="BE412" s="31">
        <f t="shared" si="413"/>
        <v>98.8351566682596</v>
      </c>
      <c r="BF412" s="30" t="str">
        <f t="shared" si="414"/>
        <v>0,0569680608074353-0,0506354147096318i</v>
      </c>
      <c r="BG412" s="68">
        <f t="shared" si="415"/>
        <v>-22.3587580852517</v>
      </c>
      <c r="BH412" s="31">
        <f t="shared" si="416"/>
        <v>-41.6319315719981</v>
      </c>
      <c r="BI412" s="30" t="str">
        <f t="shared" si="369"/>
        <v>0,120257783201235+0,150203814011727i</v>
      </c>
      <c r="BJ412" s="68">
        <f t="shared" si="417"/>
        <v>-14.3152698339594</v>
      </c>
      <c r="BK412" s="31">
        <f t="shared" si="370"/>
        <v>51.3181644655359</v>
      </c>
      <c r="BL412" s="32">
        <f t="shared" si="418"/>
        <v>-22.3587580852517</v>
      </c>
      <c r="BM412" s="31">
        <f t="shared" si="419"/>
        <v>-41.6319315719981</v>
      </c>
      <c r="BO412">
        <f t="shared" si="420"/>
        <v>0</v>
      </c>
      <c r="BP412">
        <f t="shared" si="421"/>
        <v>0</v>
      </c>
    </row>
    <row r="413" spans="14:68">
      <c r="N413" s="7">
        <v>95</v>
      </c>
      <c r="O413" s="18">
        <f t="shared" si="371"/>
        <v>89125.0938133746</v>
      </c>
      <c r="P413" s="86" t="str">
        <f t="shared" si="372"/>
        <v>75</v>
      </c>
      <c r="Q413" s="4" t="str">
        <f t="shared" si="373"/>
        <v>1+914,649483917021i</v>
      </c>
      <c r="R413" s="4">
        <f t="shared" si="384"/>
        <v>914.650030574357</v>
      </c>
      <c r="S413" s="4">
        <f t="shared" si="385"/>
        <v>1.56970301223108</v>
      </c>
      <c r="T413" s="4" t="str">
        <f t="shared" si="374"/>
        <v>1+8,78063504560341i</v>
      </c>
      <c r="U413" s="4">
        <f t="shared" si="386"/>
        <v>8.8373950802303</v>
      </c>
      <c r="V413" s="4">
        <f t="shared" si="387"/>
        <v>1.45739793168919</v>
      </c>
      <c r="W413" t="str">
        <f t="shared" si="375"/>
        <v>1-4,60591347258215i</v>
      </c>
      <c r="X413" s="4">
        <f t="shared" si="388"/>
        <v>4.71321959141665</v>
      </c>
      <c r="Y413" s="4">
        <f t="shared" si="389"/>
        <v>-1.35700216951272</v>
      </c>
      <c r="Z413" t="str">
        <f t="shared" si="376"/>
        <v>0,935156878798018+1,44534427610561i</v>
      </c>
      <c r="AA413" s="4">
        <f t="shared" si="390"/>
        <v>1.72149309160232</v>
      </c>
      <c r="AB413" s="4">
        <f t="shared" si="391"/>
        <v>0.996523630166118</v>
      </c>
      <c r="AC413" s="67" t="str">
        <f t="shared" si="392"/>
        <v>-1,54798234285491-1,24097956824855i</v>
      </c>
      <c r="AD413" s="68">
        <f t="shared" si="393"/>
        <v>5.95085941954214</v>
      </c>
      <c r="AE413" s="31">
        <f t="shared" si="394"/>
        <v>-141.281702429676</v>
      </c>
      <c r="AF413" s="32" t="str">
        <f t="shared" si="395"/>
        <v>249,914648392112</v>
      </c>
      <c r="AG413" s="32" t="str">
        <f t="shared" si="377"/>
        <v>1+587,988953946657i</v>
      </c>
      <c r="AH413" s="32">
        <f t="shared" si="396"/>
        <v>587.989804302153</v>
      </c>
      <c r="AI413" s="32">
        <f t="shared" si="397"/>
        <v>1.56909561621326</v>
      </c>
      <c r="AJ413" s="32" t="str">
        <f t="shared" si="378"/>
        <v>1+8,78063504560341i</v>
      </c>
      <c r="AK413" s="32">
        <f t="shared" si="398"/>
        <v>8.8373950802303</v>
      </c>
      <c r="AL413" s="32">
        <f t="shared" si="399"/>
        <v>1.45739793168919</v>
      </c>
      <c r="AM413" s="32" t="str">
        <f t="shared" si="379"/>
        <v>1-0,888577702699877i</v>
      </c>
      <c r="AN413" s="32">
        <f t="shared" si="400"/>
        <v>1.33774823256672</v>
      </c>
      <c r="AO413" s="32">
        <f t="shared" si="401"/>
        <v>-0.726468478774812</v>
      </c>
      <c r="AP413" s="30" t="str">
        <f t="shared" si="402"/>
        <v>3,36073707527745-3,73554144001361i</v>
      </c>
      <c r="AQ413" s="32">
        <f t="shared" si="403"/>
        <v>14.0224114711467</v>
      </c>
      <c r="AR413" s="31">
        <f t="shared" si="404"/>
        <v>-48.0233836876991</v>
      </c>
      <c r="AS413" t="str">
        <f t="shared" si="380"/>
        <v>-0,000100699300699301</v>
      </c>
      <c r="AT413" t="str">
        <f t="shared" si="381"/>
        <v>0,125829636144585i</v>
      </c>
      <c r="AU413">
        <f t="shared" si="405"/>
        <v>0.125829636144585</v>
      </c>
      <c r="AV413">
        <f t="shared" si="406"/>
        <v>1.5707963267949</v>
      </c>
      <c r="AW413" t="str">
        <f t="shared" si="382"/>
        <v>1+6,44224657618458i</v>
      </c>
      <c r="AX413">
        <f t="shared" si="407"/>
        <v>6.51939728413309</v>
      </c>
      <c r="AY413">
        <f t="shared" si="408"/>
        <v>1.41679996810229</v>
      </c>
      <c r="AZ413" t="str">
        <f t="shared" si="383"/>
        <v>1+307,994213972058i</v>
      </c>
      <c r="BA413">
        <f t="shared" si="409"/>
        <v>307.9958373749</v>
      </c>
      <c r="BB413">
        <f t="shared" si="410"/>
        <v>1.56754952396314</v>
      </c>
      <c r="BC413" s="30" t="str">
        <f t="shared" si="411"/>
        <v>-0,00567793982650009+0,0373789712639748i</v>
      </c>
      <c r="BD413" s="32">
        <f t="shared" si="412"/>
        <v>-28.4483817281393</v>
      </c>
      <c r="BE413" s="31">
        <f t="shared" si="413"/>
        <v>98.6373133142987</v>
      </c>
      <c r="BF413" s="30" t="str">
        <f t="shared" si="414"/>
        <v>0,0551758902159572-0,0508157801962827i</v>
      </c>
      <c r="BG413" s="68">
        <f t="shared" si="415"/>
        <v>-22.4975223085971</v>
      </c>
      <c r="BH413" s="31">
        <f t="shared" si="416"/>
        <v>-42.6443891153777</v>
      </c>
      <c r="BI413" s="30" t="str">
        <f t="shared" si="369"/>
        <v>0,120548633255543+0,146831074078365i</v>
      </c>
      <c r="BJ413" s="68">
        <f t="shared" si="417"/>
        <v>-14.4259702569926</v>
      </c>
      <c r="BK413" s="31">
        <f t="shared" si="370"/>
        <v>50.6139296265995</v>
      </c>
      <c r="BL413" s="32">
        <f t="shared" si="418"/>
        <v>-22.4975223085971</v>
      </c>
      <c r="BM413" s="31">
        <f t="shared" si="419"/>
        <v>-42.6443891153777</v>
      </c>
      <c r="BO413">
        <f t="shared" si="420"/>
        <v>0</v>
      </c>
      <c r="BP413">
        <f t="shared" si="421"/>
        <v>0</v>
      </c>
    </row>
    <row r="414" spans="14:68">
      <c r="N414" s="7">
        <v>96</v>
      </c>
      <c r="O414" s="18">
        <f t="shared" si="371"/>
        <v>91201.083935591</v>
      </c>
      <c r="P414" s="86" t="str">
        <f t="shared" si="372"/>
        <v>75</v>
      </c>
      <c r="Q414" s="4" t="str">
        <f t="shared" si="373"/>
        <v>1+935,954407285498i</v>
      </c>
      <c r="R414" s="4">
        <f t="shared" si="384"/>
        <v>935.954941499401</v>
      </c>
      <c r="S414" s="4">
        <f t="shared" si="385"/>
        <v>1.56972789908976</v>
      </c>
      <c r="T414" s="4" t="str">
        <f t="shared" si="374"/>
        <v>1+8,98516230994079i</v>
      </c>
      <c r="U414" s="4">
        <f t="shared" si="386"/>
        <v>9.04063834781486</v>
      </c>
      <c r="V414" s="4">
        <f t="shared" si="387"/>
        <v>1.45995786302478</v>
      </c>
      <c r="W414" t="str">
        <f t="shared" si="375"/>
        <v>1-4,71319897954483i</v>
      </c>
      <c r="X414" s="4">
        <f t="shared" si="388"/>
        <v>4.8181162938209</v>
      </c>
      <c r="Y414" s="4">
        <f t="shared" si="389"/>
        <v>-1.36172658104357</v>
      </c>
      <c r="Z414" t="str">
        <f t="shared" si="376"/>
        <v>0,932100916644679+1,47901066917197i</v>
      </c>
      <c r="AA414" s="4">
        <f t="shared" si="390"/>
        <v>1.74822329189791</v>
      </c>
      <c r="AB414" s="4">
        <f t="shared" si="391"/>
        <v>1.00845268148633</v>
      </c>
      <c r="AC414" s="67" t="str">
        <f t="shared" si="392"/>
        <v>-1,57526552533633-1,22672462152393i</v>
      </c>
      <c r="AD414" s="68">
        <f t="shared" si="393"/>
        <v>6.00571589021832</v>
      </c>
      <c r="AE414" s="31">
        <f t="shared" si="394"/>
        <v>-142.090628215915</v>
      </c>
      <c r="AF414" s="32" t="str">
        <f t="shared" si="395"/>
        <v>249,914648392112</v>
      </c>
      <c r="AG414" s="32" t="str">
        <f t="shared" si="377"/>
        <v>1+601,684976112106i</v>
      </c>
      <c r="AH414" s="32">
        <f t="shared" si="396"/>
        <v>601.685807111175</v>
      </c>
      <c r="AI414" s="32">
        <f t="shared" si="397"/>
        <v>1.56913432904033</v>
      </c>
      <c r="AJ414" s="32" t="str">
        <f t="shared" si="378"/>
        <v>1+8,98516230994079i</v>
      </c>
      <c r="AK414" s="32">
        <f t="shared" si="398"/>
        <v>9.04063834781486</v>
      </c>
      <c r="AL414" s="32">
        <f t="shared" si="399"/>
        <v>1.45995786302478</v>
      </c>
      <c r="AM414" s="32" t="str">
        <f t="shared" si="379"/>
        <v>1-0,909275336269717i</v>
      </c>
      <c r="AN414" s="32">
        <f t="shared" si="400"/>
        <v>1.35158486124564</v>
      </c>
      <c r="AO414" s="32">
        <f t="shared" si="401"/>
        <v>-0.737916026818427</v>
      </c>
      <c r="AP414" s="30" t="str">
        <f t="shared" si="402"/>
        <v>3,36070497887017-3,80324145189669i</v>
      </c>
      <c r="AQ414" s="32">
        <f t="shared" si="403"/>
        <v>14.1092872085382</v>
      </c>
      <c r="AR414" s="31">
        <f t="shared" si="404"/>
        <v>-48.5348246966028</v>
      </c>
      <c r="AS414" t="str">
        <f t="shared" si="380"/>
        <v>-0,000100699300699301</v>
      </c>
      <c r="AT414" t="str">
        <f t="shared" si="381"/>
        <v>0,128760584887991i</v>
      </c>
      <c r="AU414">
        <f t="shared" si="405"/>
        <v>0.128760584887991</v>
      </c>
      <c r="AV414">
        <f t="shared" si="406"/>
        <v>1.5707963267949</v>
      </c>
      <c r="AW414" t="str">
        <f t="shared" si="382"/>
        <v>1+6,59230577595437i</v>
      </c>
      <c r="AX414">
        <f t="shared" si="407"/>
        <v>6.66772040833157</v>
      </c>
      <c r="AY414">
        <f t="shared" si="408"/>
        <v>1.42025203068776</v>
      </c>
      <c r="AZ414" t="str">
        <f t="shared" si="383"/>
        <v>1+315,168320820627i</v>
      </c>
      <c r="BA414">
        <f t="shared" si="409"/>
        <v>315.169907270497</v>
      </c>
      <c r="BB414">
        <f t="shared" si="410"/>
        <v>1.5676234297168</v>
      </c>
      <c r="BC414" s="30" t="str">
        <f t="shared" si="411"/>
        <v>-0,00542813848219091+0,0365660148639048i</v>
      </c>
      <c r="BD414" s="32">
        <f t="shared" si="412"/>
        <v>-28.6437824571647</v>
      </c>
      <c r="BE414" s="31">
        <f t="shared" si="413"/>
        <v>98.4437591853023</v>
      </c>
      <c r="BF414" s="30" t="str">
        <f t="shared" si="414"/>
        <v>0,0534071901623088-0,0509423514888999i</v>
      </c>
      <c r="BG414" s="68">
        <f t="shared" si="415"/>
        <v>-22.6380665669464</v>
      </c>
      <c r="BH414" s="31">
        <f t="shared" si="416"/>
        <v>-43.6468690306129</v>
      </c>
      <c r="BI414" s="30" t="str">
        <f t="shared" si="369"/>
        <v>0,120827011437977+0,14353210949267i</v>
      </c>
      <c r="BJ414" s="68">
        <f t="shared" si="417"/>
        <v>-14.5344952486265</v>
      </c>
      <c r="BK414" s="31">
        <f t="shared" si="370"/>
        <v>49.9089344886997</v>
      </c>
      <c r="BL414" s="32">
        <f t="shared" si="418"/>
        <v>-22.6380665669464</v>
      </c>
      <c r="BM414" s="31">
        <f t="shared" si="419"/>
        <v>-43.6468690306129</v>
      </c>
      <c r="BO414">
        <f t="shared" si="420"/>
        <v>0</v>
      </c>
      <c r="BP414">
        <f t="shared" si="421"/>
        <v>0</v>
      </c>
    </row>
    <row r="415" spans="14:68">
      <c r="N415" s="7">
        <v>97</v>
      </c>
      <c r="O415" s="18">
        <f t="shared" si="371"/>
        <v>93325.4300796991</v>
      </c>
      <c r="P415" s="86" t="str">
        <f t="shared" si="372"/>
        <v>75</v>
      </c>
      <c r="Q415" s="4" t="str">
        <f t="shared" si="373"/>
        <v>1+957,755586069535i</v>
      </c>
      <c r="R415" s="4">
        <f t="shared" si="384"/>
        <v>957.756108123252</v>
      </c>
      <c r="S415" s="4">
        <f t="shared" si="385"/>
        <v>1.56975221945566</v>
      </c>
      <c r="T415" s="4" t="str">
        <f t="shared" si="374"/>
        <v>1+9,19445362626755i</v>
      </c>
      <c r="U415" s="4">
        <f t="shared" si="386"/>
        <v>9.24867436369043</v>
      </c>
      <c r="V415" s="4">
        <f t="shared" si="387"/>
        <v>1.46246093350129</v>
      </c>
      <c r="W415" t="str">
        <f t="shared" si="375"/>
        <v>1-4,82298348699302i</v>
      </c>
      <c r="X415" s="4">
        <f t="shared" si="388"/>
        <v>4.92556288314415</v>
      </c>
      <c r="Y415" s="4">
        <f t="shared" si="389"/>
        <v>-1.36635262186241</v>
      </c>
      <c r="Z415" t="str">
        <f t="shared" si="376"/>
        <v>0,928900931432156+1,51346125327215i</v>
      </c>
      <c r="AA415" s="4">
        <f t="shared" si="390"/>
        <v>1.77578768594999</v>
      </c>
      <c r="AB415" s="4">
        <f t="shared" si="391"/>
        <v>1.02032107061335</v>
      </c>
      <c r="AC415" s="67" t="str">
        <f t="shared" si="392"/>
        <v>-1,60210412319934-1,21194020396987i</v>
      </c>
      <c r="AD415" s="68">
        <f t="shared" si="393"/>
        <v>6.0590129902766</v>
      </c>
      <c r="AE415" s="31">
        <f t="shared" si="394"/>
        <v>-142.893667517482</v>
      </c>
      <c r="AF415" s="32" t="str">
        <f t="shared" si="395"/>
        <v>249,914648392112</v>
      </c>
      <c r="AG415" s="32" t="str">
        <f t="shared" si="377"/>
        <v>1+615,70001961613i</v>
      </c>
      <c r="AH415" s="32">
        <f t="shared" si="396"/>
        <v>615.700831699376</v>
      </c>
      <c r="AI415" s="32">
        <f t="shared" si="397"/>
        <v>1.56917216066068</v>
      </c>
      <c r="AJ415" s="32" t="str">
        <f t="shared" si="378"/>
        <v>1+9,19445362626755i</v>
      </c>
      <c r="AK415" s="32">
        <f t="shared" si="398"/>
        <v>9.24867436369043</v>
      </c>
      <c r="AL415" s="32">
        <f t="shared" si="399"/>
        <v>1.46246093350129</v>
      </c>
      <c r="AM415" s="32" t="str">
        <f t="shared" si="379"/>
        <v>1-0,930455079658526i</v>
      </c>
      <c r="AN415" s="32">
        <f t="shared" si="400"/>
        <v>1.36592337093351</v>
      </c>
      <c r="AO415" s="32">
        <f t="shared" si="401"/>
        <v>-0.749388592859681</v>
      </c>
      <c r="AP415" s="30" t="str">
        <f t="shared" si="402"/>
        <v>3,3606743270314-3,87295798793637i</v>
      </c>
      <c r="AQ415" s="32">
        <f t="shared" si="403"/>
        <v>14.1985559340159</v>
      </c>
      <c r="AR415" s="31">
        <f t="shared" si="404"/>
        <v>-49.0509065290023</v>
      </c>
      <c r="AS415" t="str">
        <f t="shared" si="380"/>
        <v>-0,000100699300699301</v>
      </c>
      <c r="AT415" t="str">
        <f t="shared" si="381"/>
        <v>0,131759804197852i</v>
      </c>
      <c r="AU415">
        <f t="shared" si="405"/>
        <v>0.131759804197852</v>
      </c>
      <c r="AV415">
        <f t="shared" si="406"/>
        <v>1.5707963267949</v>
      </c>
      <c r="AW415" t="str">
        <f t="shared" si="382"/>
        <v>1+6,74586030350604i</v>
      </c>
      <c r="AX415">
        <f t="shared" si="407"/>
        <v>6.8195770568576</v>
      </c>
      <c r="AY415">
        <f t="shared" si="408"/>
        <v>1.42362901178711</v>
      </c>
      <c r="AZ415" t="str">
        <f t="shared" si="383"/>
        <v>1+322,509534084639i</v>
      </c>
      <c r="BA415">
        <f t="shared" si="409"/>
        <v>322.511084422677</v>
      </c>
      <c r="BB415">
        <f t="shared" si="410"/>
        <v>1.56769565320362</v>
      </c>
      <c r="BC415" s="30" t="str">
        <f t="shared" si="411"/>
        <v>-0,00518908515995789+0,0357691077871532i</v>
      </c>
      <c r="BD415" s="32">
        <f t="shared" si="412"/>
        <v>-28.8393856318958</v>
      </c>
      <c r="BE415" s="31">
        <f t="shared" si="413"/>
        <v>98.2544105217902</v>
      </c>
      <c r="BF415" s="30" t="str">
        <f t="shared" si="414"/>
        <v>0,0516634745177838-0,0510169741417834i</v>
      </c>
      <c r="BG415" s="68">
        <f t="shared" si="415"/>
        <v>-22.7803726416192</v>
      </c>
      <c r="BH415" s="31">
        <f t="shared" si="416"/>
        <v>-44.6392569956917</v>
      </c>
      <c r="BI415" s="30" t="str">
        <f t="shared" si="369"/>
        <v>0,121093426447762+0,140305431061446i</v>
      </c>
      <c r="BJ415" s="68">
        <f t="shared" si="417"/>
        <v>-14.6408296978798</v>
      </c>
      <c r="BK415" s="31">
        <f t="shared" si="370"/>
        <v>49.2035039927879</v>
      </c>
      <c r="BL415" s="32">
        <f t="shared" si="418"/>
        <v>-22.7803726416192</v>
      </c>
      <c r="BM415" s="31">
        <f t="shared" si="419"/>
        <v>-44.6392569956917</v>
      </c>
      <c r="BO415">
        <f t="shared" si="420"/>
        <v>0</v>
      </c>
      <c r="BP415">
        <f t="shared" si="421"/>
        <v>0</v>
      </c>
    </row>
    <row r="416" spans="14:68">
      <c r="N416" s="7">
        <v>98</v>
      </c>
      <c r="O416" s="18">
        <f t="shared" si="371"/>
        <v>95499.2586021438</v>
      </c>
      <c r="P416" s="86" t="str">
        <f t="shared" si="372"/>
        <v>75</v>
      </c>
      <c r="Q416" s="4" t="str">
        <f t="shared" si="373"/>
        <v>1+980,064579542705i</v>
      </c>
      <c r="R416" s="4">
        <f t="shared" si="384"/>
        <v>980.065089713035</v>
      </c>
      <c r="S416" s="4">
        <f t="shared" si="385"/>
        <v>1.56977598622363</v>
      </c>
      <c r="T416" s="4" t="str">
        <f t="shared" si="374"/>
        <v>1+9,40861996360998i</v>
      </c>
      <c r="U416" s="4">
        <f t="shared" si="386"/>
        <v>9.46161347866421</v>
      </c>
      <c r="V416" s="4">
        <f t="shared" si="387"/>
        <v>1.46490834475053</v>
      </c>
      <c r="W416" t="str">
        <f t="shared" si="375"/>
        <v>1-4,93532520412577i</v>
      </c>
      <c r="X416" s="4">
        <f t="shared" si="388"/>
        <v>5.03561663259616</v>
      </c>
      <c r="Y416" s="4">
        <f t="shared" si="389"/>
        <v>-1.37088195239955</v>
      </c>
      <c r="Z416" t="str">
        <f t="shared" si="376"/>
        <v>0,925550135562782+1,54871429456184i</v>
      </c>
      <c r="AA416" s="4">
        <f t="shared" si="390"/>
        <v>1.80420592494883</v>
      </c>
      <c r="AB416" s="4">
        <f t="shared" si="391"/>
        <v>1.03212509641291</v>
      </c>
      <c r="AC416" s="67" t="str">
        <f t="shared" si="392"/>
        <v>-1,6284796886245-1,19664709485647i</v>
      </c>
      <c r="AD416" s="68">
        <f t="shared" si="393"/>
        <v>6.11076201576937</v>
      </c>
      <c r="AE416" s="31">
        <f t="shared" si="394"/>
        <v>-143.690635301041</v>
      </c>
      <c r="AF416" s="32" t="str">
        <f t="shared" si="395"/>
        <v>249,914648392112</v>
      </c>
      <c r="AG416" s="32" t="str">
        <f t="shared" si="377"/>
        <v>1+630,04151542031i</v>
      </c>
      <c r="AH416" s="32">
        <f t="shared" si="396"/>
        <v>630.042309018308</v>
      </c>
      <c r="AI416" s="32">
        <f t="shared" si="397"/>
        <v>1.56920913113271</v>
      </c>
      <c r="AJ416" s="32" t="str">
        <f t="shared" si="378"/>
        <v>1+9,40861996360998i</v>
      </c>
      <c r="AK416" s="32">
        <f t="shared" si="398"/>
        <v>9.46161347866421</v>
      </c>
      <c r="AL416" s="32">
        <f t="shared" si="399"/>
        <v>1.46490834475053</v>
      </c>
      <c r="AM416" s="32" t="str">
        <f t="shared" si="379"/>
        <v>1-0,952128162646604i</v>
      </c>
      <c r="AN416" s="32">
        <f t="shared" si="400"/>
        <v>1.38077805533866</v>
      </c>
      <c r="AO416" s="32">
        <f t="shared" si="401"/>
        <v>-0.760880180684003</v>
      </c>
      <c r="AP416" s="30" t="str">
        <f t="shared" si="402"/>
        <v>3,3606450547455-3,94472801308348i</v>
      </c>
      <c r="AQ416" s="32">
        <f t="shared" si="403"/>
        <v>14.2902215328821</v>
      </c>
      <c r="AR416" s="31">
        <f t="shared" si="404"/>
        <v>-49.5712179279395</v>
      </c>
      <c r="AS416" t="str">
        <f t="shared" si="380"/>
        <v>-0,000100699300699301</v>
      </c>
      <c r="AT416" t="str">
        <f t="shared" si="381"/>
        <v>0,134828884299946i</v>
      </c>
      <c r="AU416">
        <f t="shared" si="405"/>
        <v>0.134828884299946</v>
      </c>
      <c r="AV416">
        <f t="shared" si="406"/>
        <v>1.5707963267949</v>
      </c>
      <c r="AW416" t="str">
        <f t="shared" si="382"/>
        <v>1+6,90299157548267i</v>
      </c>
      <c r="AX416">
        <f t="shared" si="407"/>
        <v>6.97504786300314</v>
      </c>
      <c r="AY416">
        <f t="shared" si="408"/>
        <v>1.42693239367222</v>
      </c>
      <c r="AZ416" t="str">
        <f t="shared" si="383"/>
        <v>1+330,021746172543i</v>
      </c>
      <c r="BA416">
        <f t="shared" si="409"/>
        <v>330.023261220742</v>
      </c>
      <c r="BB416">
        <f t="shared" si="410"/>
        <v>1.56776623271441</v>
      </c>
      <c r="BC416" s="30" t="str">
        <f t="shared" si="411"/>
        <v>-0,0049603382896727+0,0349880408432317i</v>
      </c>
      <c r="BD416" s="32">
        <f t="shared" si="412"/>
        <v>-29.0351825331865</v>
      </c>
      <c r="BE416" s="31">
        <f t="shared" si="413"/>
        <v>98.0691845897422</v>
      </c>
      <c r="BF416" s="30" t="str">
        <f t="shared" si="414"/>
        <v>0,0499461475832111-0,0510415394541251i</v>
      </c>
      <c r="BG416" s="68">
        <f t="shared" si="415"/>
        <v>-22.9244205174171</v>
      </c>
      <c r="BH416" s="31">
        <f t="shared" si="416"/>
        <v>-45.6214507112989</v>
      </c>
      <c r="BI416" s="30" t="str">
        <f t="shared" si="369"/>
        <v>0,121348368494152+0,137149571840683i</v>
      </c>
      <c r="BJ416" s="68">
        <f t="shared" si="417"/>
        <v>-14.7449610003043</v>
      </c>
      <c r="BK416" s="31">
        <f t="shared" si="370"/>
        <v>48.4979666618028</v>
      </c>
      <c r="BL416" s="32">
        <f t="shared" si="418"/>
        <v>-22.9244205174171</v>
      </c>
      <c r="BM416" s="31">
        <f t="shared" si="419"/>
        <v>-45.6214507112989</v>
      </c>
      <c r="BO416">
        <f t="shared" si="420"/>
        <v>0</v>
      </c>
      <c r="BP416">
        <f t="shared" si="421"/>
        <v>0</v>
      </c>
    </row>
    <row r="417" spans="14:68">
      <c r="N417" s="7">
        <v>99</v>
      </c>
      <c r="O417" s="18">
        <f t="shared" si="371"/>
        <v>97723.7220955813</v>
      </c>
      <c r="P417" s="86" t="str">
        <f t="shared" si="372"/>
        <v>75</v>
      </c>
      <c r="Q417" s="4" t="str">
        <f t="shared" si="373"/>
        <v>1+1002,89321622863i</v>
      </c>
      <c r="R417" s="4">
        <f t="shared" si="384"/>
        <v>1002.89371478607</v>
      </c>
      <c r="S417" s="4">
        <f t="shared" si="385"/>
        <v>1.56979921199503</v>
      </c>
      <c r="T417" s="4" t="str">
        <f t="shared" si="374"/>
        <v>1+9,6277748757949i</v>
      </c>
      <c r="U417" s="4">
        <f t="shared" si="386"/>
        <v>9.67956864012997</v>
      </c>
      <c r="V417" s="4">
        <f t="shared" si="387"/>
        <v>1.46730127708203</v>
      </c>
      <c r="W417" t="str">
        <f t="shared" si="375"/>
        <v>1-5,05028369600848i</v>
      </c>
      <c r="X417" s="4">
        <f t="shared" si="388"/>
        <v>5.14833617882215</v>
      </c>
      <c r="Y417" s="4">
        <f t="shared" si="389"/>
        <v>-1.37531623046748</v>
      </c>
      <c r="Z417" t="str">
        <f t="shared" si="376"/>
        <v>0,92204142154927+1,58478848467016i</v>
      </c>
      <c r="AA417" s="4">
        <f t="shared" si="390"/>
        <v>1.83349800223391</v>
      </c>
      <c r="AB417" s="4">
        <f t="shared" si="391"/>
        <v>1.04386127081419</v>
      </c>
      <c r="AC417" s="67" t="str">
        <f t="shared" si="392"/>
        <v>-1,65437527810141-1,18086666960429i</v>
      </c>
      <c r="AD417" s="68">
        <f t="shared" si="393"/>
        <v>6.16097629096226</v>
      </c>
      <c r="AE417" s="31">
        <f t="shared" si="394"/>
        <v>-144.481359795766</v>
      </c>
      <c r="AF417" s="32" t="str">
        <f t="shared" si="395"/>
        <v>249,914648392112</v>
      </c>
      <c r="AG417" s="32" t="str">
        <f t="shared" si="377"/>
        <v>1+644,71706757555i</v>
      </c>
      <c r="AH417" s="32">
        <f t="shared" si="396"/>
        <v>644.717843109074</v>
      </c>
      <c r="AI417" s="32">
        <f t="shared" si="397"/>
        <v>1.56924526005825</v>
      </c>
      <c r="AJ417" s="32" t="str">
        <f t="shared" si="378"/>
        <v>1+9,6277748757949i</v>
      </c>
      <c r="AK417" s="32">
        <f t="shared" si="398"/>
        <v>9.67956864012997</v>
      </c>
      <c r="AL417" s="32">
        <f t="shared" si="399"/>
        <v>1.46730127708203</v>
      </c>
      <c r="AM417" s="32" t="str">
        <f t="shared" si="379"/>
        <v>1-0,97430607658942i</v>
      </c>
      <c r="AN417" s="32">
        <f t="shared" si="400"/>
        <v>1.39616343272522</v>
      </c>
      <c r="AO417" s="32">
        <f t="shared" si="401"/>
        <v>-0.772384744006847</v>
      </c>
      <c r="AP417" s="30" t="str">
        <f t="shared" si="402"/>
        <v>3,360617099923-4,0185895810545i</v>
      </c>
      <c r="AQ417" s="32">
        <f t="shared" si="403"/>
        <v>14.3842857108877</v>
      </c>
      <c r="AR417" s="31">
        <f t="shared" si="404"/>
        <v>-50.095345963176</v>
      </c>
      <c r="AS417" t="str">
        <f t="shared" si="380"/>
        <v>-0,000100699300699301</v>
      </c>
      <c r="AT417" t="str">
        <f t="shared" si="381"/>
        <v>0,137969452461168i</v>
      </c>
      <c r="AU417">
        <f t="shared" si="405"/>
        <v>0.137969452461168</v>
      </c>
      <c r="AV417">
        <f t="shared" si="406"/>
        <v>1.5707963267949</v>
      </c>
      <c r="AW417" t="str">
        <f t="shared" si="382"/>
        <v>1+7,0637829049645i</v>
      </c>
      <c r="AX417">
        <f t="shared" si="407"/>
        <v>7.13421536880326</v>
      </c>
      <c r="AY417">
        <f t="shared" si="408"/>
        <v>1.43016363930917</v>
      </c>
      <c r="AZ417" t="str">
        <f t="shared" si="383"/>
        <v>1+337,708940158621i</v>
      </c>
      <c r="BA417">
        <f t="shared" si="409"/>
        <v>337.710420720266</v>
      </c>
      <c r="BB417">
        <f t="shared" si="410"/>
        <v>1.56783520566857</v>
      </c>
      <c r="BC417" s="30" t="str">
        <f t="shared" si="411"/>
        <v>-0,00474147263718122+0,0342225999989417i</v>
      </c>
      <c r="BD417" s="32">
        <f t="shared" si="412"/>
        <v>-29.2311648008552</v>
      </c>
      <c r="BE417" s="31">
        <f t="shared" si="413"/>
        <v>97.887999711349</v>
      </c>
      <c r="BF417" s="30" t="str">
        <f t="shared" si="414"/>
        <v>0,048256502798697-0,0510179763885144i</v>
      </c>
      <c r="BG417" s="68">
        <f t="shared" si="415"/>
        <v>-23.0701885098929</v>
      </c>
      <c r="BH417" s="31">
        <f t="shared" si="416"/>
        <v>-46.5933600844169</v>
      </c>
      <c r="BI417" s="30" t="str">
        <f t="shared" si="369"/>
        <v>0,121592309769015+0,1340630872989i</v>
      </c>
      <c r="BJ417" s="68">
        <f t="shared" si="417"/>
        <v>-14.8468790899675</v>
      </c>
      <c r="BK417" s="31">
        <f t="shared" si="370"/>
        <v>47.7926537481729</v>
      </c>
      <c r="BL417" s="32">
        <f t="shared" si="418"/>
        <v>-23.0701885098929</v>
      </c>
      <c r="BM417" s="31">
        <f t="shared" si="419"/>
        <v>-46.5933600844169</v>
      </c>
      <c r="BO417">
        <f t="shared" si="420"/>
        <v>0</v>
      </c>
      <c r="BP417">
        <f t="shared" si="421"/>
        <v>0</v>
      </c>
    </row>
    <row r="418" spans="14:68">
      <c r="N418" s="7">
        <v>100</v>
      </c>
      <c r="O418" s="18">
        <f t="shared" si="371"/>
        <v>100000</v>
      </c>
      <c r="P418" s="86" t="str">
        <f t="shared" si="372"/>
        <v>75</v>
      </c>
      <c r="Q418" s="4" t="str">
        <f t="shared" si="373"/>
        <v>1+1026,25360017267i</v>
      </c>
      <c r="R418" s="4">
        <f t="shared" si="384"/>
        <v>1026.25408738156</v>
      </c>
      <c r="S418" s="4">
        <f t="shared" si="385"/>
        <v>1.56982190908437</v>
      </c>
      <c r="T418" s="4" t="str">
        <f t="shared" si="374"/>
        <v>1+9,8520345616576i</v>
      </c>
      <c r="U418" s="4">
        <f t="shared" si="386"/>
        <v>9.90265545215504</v>
      </c>
      <c r="V418" s="4">
        <f t="shared" si="387"/>
        <v>1.4696408895825</v>
      </c>
      <c r="W418" t="str">
        <f t="shared" si="375"/>
        <v>1-5,16791991515521i</v>
      </c>
      <c r="X418" s="4">
        <f t="shared" si="388"/>
        <v>5.26378155411657</v>
      </c>
      <c r="Y418" s="4">
        <f t="shared" si="389"/>
        <v>-1.37965710932369</v>
      </c>
      <c r="Z418" t="str">
        <f t="shared" si="376"/>
        <v>0,918367346938775+1,62170295061021i</v>
      </c>
      <c r="AA418" s="4">
        <f t="shared" si="390"/>
        <v>1.86368426616238</v>
      </c>
      <c r="AB418" s="4">
        <f t="shared" si="391"/>
        <v>1.05552632371979</v>
      </c>
      <c r="AC418" s="67" t="str">
        <f t="shared" si="392"/>
        <v>-1,6797754629855-1,16462078384095i</v>
      </c>
      <c r="AD418" s="68">
        <f t="shared" si="393"/>
        <v>6.20967102634942</v>
      </c>
      <c r="AE418" s="31">
        <f t="shared" si="394"/>
        <v>-145.265682658345</v>
      </c>
      <c r="AF418" s="32" t="str">
        <f t="shared" si="395"/>
        <v>249,914648392112</v>
      </c>
      <c r="AG418" s="32" t="str">
        <f t="shared" si="377"/>
        <v>1+659,734457253857i</v>
      </c>
      <c r="AH418" s="32">
        <f t="shared" si="396"/>
        <v>659.735215134103</v>
      </c>
      <c r="AI418" s="32">
        <f t="shared" si="397"/>
        <v>1.56928056659295</v>
      </c>
      <c r="AJ418" s="32" t="str">
        <f t="shared" si="378"/>
        <v>1+9,8520345616576i</v>
      </c>
      <c r="AK418" s="32">
        <f t="shared" si="398"/>
        <v>9.90265545215504</v>
      </c>
      <c r="AL418" s="32">
        <f t="shared" si="399"/>
        <v>1.4696408895825</v>
      </c>
      <c r="AM418" s="32" t="str">
        <f t="shared" si="379"/>
        <v>1-0,997000580510507i</v>
      </c>
      <c r="AN418" s="32">
        <f t="shared" si="400"/>
        <v>1.41209424527483</v>
      </c>
      <c r="AO418" s="32">
        <f t="shared" si="401"/>
        <v>-0.783896202274695</v>
      </c>
      <c r="AP418" s="30" t="str">
        <f t="shared" si="402"/>
        <v>3,36059040326884-4,09458185450966i</v>
      </c>
      <c r="AQ418" s="32">
        <f t="shared" si="403"/>
        <v>14.480747958739</v>
      </c>
      <c r="AR418" s="31">
        <f t="shared" si="404"/>
        <v>-50.6228769314194</v>
      </c>
      <c r="AS418" t="str">
        <f t="shared" si="380"/>
        <v>-0,000100699300699301</v>
      </c>
      <c r="AT418" t="str">
        <f t="shared" si="381"/>
        <v>0,141183173852325i</v>
      </c>
      <c r="AU418">
        <f t="shared" si="405"/>
        <v>0.141183173852325</v>
      </c>
      <c r="AV418">
        <f t="shared" si="406"/>
        <v>1.5707963267949</v>
      </c>
      <c r="AW418" t="str">
        <f t="shared" si="382"/>
        <v>1+7,22831954564274i</v>
      </c>
      <c r="AX418">
        <f t="shared" si="407"/>
        <v>7.29716406927519</v>
      </c>
      <c r="AY418">
        <f t="shared" si="408"/>
        <v>1.43332419190806</v>
      </c>
      <c r="AZ418" t="str">
        <f t="shared" si="383"/>
        <v>1+345,575191894877i</v>
      </c>
      <c r="BA418">
        <f t="shared" si="409"/>
        <v>345.576638754967</v>
      </c>
      <c r="BB418">
        <f t="shared" si="410"/>
        <v>1.56790260863384</v>
      </c>
      <c r="BC418" s="30" t="str">
        <f t="shared" si="411"/>
        <v>-0,00453207885887542+0,0334725670450081i</v>
      </c>
      <c r="BD418" s="32">
        <f t="shared" si="412"/>
        <v>-29.4273244203386</v>
      </c>
      <c r="BE418" s="31">
        <f t="shared" si="413"/>
        <v>97.7107752919402</v>
      </c>
      <c r="BF418" s="30" t="str">
        <f t="shared" si="414"/>
        <v>0,0465957221325803-0,0509482435722892i</v>
      </c>
      <c r="BG418" s="68">
        <f t="shared" si="415"/>
        <v>-23.2176533939891</v>
      </c>
      <c r="BH418" s="31">
        <f t="shared" si="416"/>
        <v>-47.5549073664044</v>
      </c>
      <c r="BI418" s="30" t="str">
        <f t="shared" si="369"/>
        <v>0,121825704926354+0,131044555442985i</v>
      </c>
      <c r="BJ418" s="68">
        <f t="shared" si="417"/>
        <v>-14.9465764615995</v>
      </c>
      <c r="BK418" s="31">
        <f t="shared" si="370"/>
        <v>47.0878983605207</v>
      </c>
      <c r="BL418" s="32">
        <f t="shared" si="418"/>
        <v>-23.2176533939891</v>
      </c>
      <c r="BM418" s="31">
        <f t="shared" si="419"/>
        <v>-47.5549073664044</v>
      </c>
      <c r="BO418">
        <f t="shared" si="420"/>
        <v>0</v>
      </c>
      <c r="BP418">
        <f t="shared" si="421"/>
        <v>0</v>
      </c>
    </row>
    <row r="419" spans="14:68">
      <c r="N419" s="7">
        <v>1</v>
      </c>
      <c r="O419" s="18">
        <f>10^(5+(N419/100))</f>
        <v>102329.299228075</v>
      </c>
      <c r="P419" s="86" t="str">
        <f t="shared" si="372"/>
        <v>75</v>
      </c>
      <c r="Q419" s="4" t="str">
        <f t="shared" si="373"/>
        <v>1+1050,15811735958i</v>
      </c>
      <c r="R419" s="4">
        <f t="shared" si="384"/>
        <v>1050.15859347825</v>
      </c>
      <c r="S419" s="4">
        <f t="shared" si="385"/>
        <v>1.56984408952584</v>
      </c>
      <c r="T419" s="4" t="str">
        <f t="shared" si="374"/>
        <v>1+10,081517926652i</v>
      </c>
      <c r="U419" s="4">
        <f t="shared" si="386"/>
        <v>10.1309922369631</v>
      </c>
      <c r="V419" s="4">
        <f t="shared" si="387"/>
        <v>1.47192832023709</v>
      </c>
      <c r="W419" t="str">
        <f t="shared" si="375"/>
        <v>1-5,28829623384645i</v>
      </c>
      <c r="X419" s="4">
        <f t="shared" si="388"/>
        <v>5.38201421931553</v>
      </c>
      <c r="Y419" s="4">
        <f t="shared" si="389"/>
        <v>-1.38390623587595</v>
      </c>
      <c r="Z419" t="str">
        <f t="shared" si="376"/>
        <v>0,914520118526458+1,65947726492044i</v>
      </c>
      <c r="AA419" s="4">
        <f t="shared" si="390"/>
        <v>1.89478543375694</v>
      </c>
      <c r="AB419" s="4">
        <f t="shared" si="391"/>
        <v>1.06711720694131</v>
      </c>
      <c r="AC419" s="67" t="str">
        <f t="shared" si="392"/>
        <v>-1,70466633043591-1,14793165936081i</v>
      </c>
      <c r="AD419" s="68">
        <f t="shared" si="393"/>
        <v>6.25686317643271</v>
      </c>
      <c r="AE419" s="31">
        <f t="shared" si="394"/>
        <v>-146.043459089076</v>
      </c>
      <c r="AF419" s="32" t="str">
        <f t="shared" si="395"/>
        <v>249,914648392112</v>
      </c>
      <c r="AG419" s="32" t="str">
        <f t="shared" si="377"/>
        <v>1+675,101646874015i</v>
      </c>
      <c r="AH419" s="32">
        <f t="shared" si="396"/>
        <v>675.10238750282</v>
      </c>
      <c r="AI419" s="32">
        <f t="shared" si="397"/>
        <v>1.56931506945646</v>
      </c>
      <c r="AJ419" s="32" t="str">
        <f t="shared" si="378"/>
        <v>1+10,081517926652i</v>
      </c>
      <c r="AK419" s="32">
        <f t="shared" si="398"/>
        <v>10.1309922369631</v>
      </c>
      <c r="AL419" s="32">
        <f t="shared" si="399"/>
        <v>1.47192832023709</v>
      </c>
      <c r="AM419" s="32" t="str">
        <f t="shared" si="379"/>
        <v>1-1,02022370733624i</v>
      </c>
      <c r="AN419" s="32">
        <f t="shared" si="400"/>
        <v>1.42858545877063</v>
      </c>
      <c r="AO419" s="32">
        <f t="shared" si="401"/>
        <v>-0.795408456686359</v>
      </c>
      <c r="AP419" s="30" t="str">
        <f t="shared" si="402"/>
        <v>3,36056490815668-4,17274512581879i</v>
      </c>
      <c r="AQ419" s="32">
        <f t="shared" si="403"/>
        <v>14.5796055270416</v>
      </c>
      <c r="AR419" s="31">
        <f t="shared" si="404"/>
        <v>-51.1533972679114</v>
      </c>
      <c r="AS419" t="str">
        <f t="shared" si="380"/>
        <v>-0,000100699300699301</v>
      </c>
      <c r="AT419" t="str">
        <f t="shared" si="381"/>
        <v>0,144471752431039i</v>
      </c>
      <c r="AU419">
        <f t="shared" si="405"/>
        <v>0.144471752431039</v>
      </c>
      <c r="AV419">
        <f t="shared" si="406"/>
        <v>1.5707963267949</v>
      </c>
      <c r="AW419" t="str">
        <f t="shared" si="382"/>
        <v>1+7,39668873702219i</v>
      </c>
      <c r="AX419">
        <f t="shared" si="407"/>
        <v>7.46398045766406</v>
      </c>
      <c r="AY419">
        <f t="shared" si="408"/>
        <v>1.4364154745348</v>
      </c>
      <c r="AZ419" t="str">
        <f t="shared" si="383"/>
        <v>1+353,624672172103i</v>
      </c>
      <c r="BA419">
        <f t="shared" si="409"/>
        <v>353.62608609777</v>
      </c>
      <c r="BB419">
        <f t="shared" si="410"/>
        <v>1.56796847734571</v>
      </c>
      <c r="BC419" s="30" t="str">
        <f t="shared" si="411"/>
        <v>-0,00433176305345755+0,0327377202190036i</v>
      </c>
      <c r="BD419" s="32">
        <f t="shared" si="412"/>
        <v>-29.6236537097164</v>
      </c>
      <c r="BE419" s="31">
        <f t="shared" si="413"/>
        <v>97.5374318433375</v>
      </c>
      <c r="BF419" s="30" t="str">
        <f t="shared" si="414"/>
        <v>0,0449648761233461-0,050834321442653i</v>
      </c>
      <c r="BG419" s="68">
        <f t="shared" si="415"/>
        <v>-23.3667905332837</v>
      </c>
      <c r="BH419" s="31">
        <f t="shared" si="416"/>
        <v>-48.5060272457385</v>
      </c>
      <c r="BI419" s="30" t="str">
        <f t="shared" si="369"/>
        <v>0,122048991566367+0,128092576908552i</v>
      </c>
      <c r="BJ419" s="68">
        <f t="shared" si="417"/>
        <v>-15.0440481826748</v>
      </c>
      <c r="BK419" s="31">
        <f t="shared" si="370"/>
        <v>46.3840345754263</v>
      </c>
      <c r="BL419" s="32">
        <f t="shared" si="418"/>
        <v>-23.3667905332837</v>
      </c>
      <c r="BM419" s="31">
        <f t="shared" si="419"/>
        <v>-48.5060272457385</v>
      </c>
      <c r="BO419">
        <f t="shared" si="420"/>
        <v>0</v>
      </c>
      <c r="BP419">
        <f t="shared" si="421"/>
        <v>0</v>
      </c>
    </row>
    <row r="420" spans="14:68">
      <c r="N420" s="7">
        <v>2</v>
      </c>
      <c r="O420" s="18">
        <f t="shared" ref="O420:O483" si="422">10^(5+(N420/100))</f>
        <v>104712.85480509</v>
      </c>
      <c r="P420" s="86" t="str">
        <f t="shared" si="372"/>
        <v>75</v>
      </c>
      <c r="Q420" s="4" t="str">
        <f t="shared" si="373"/>
        <v>1+1074,61944228081i</v>
      </c>
      <c r="R420" s="4">
        <f t="shared" si="384"/>
        <v>1074.6199075617</v>
      </c>
      <c r="S420" s="4">
        <f t="shared" si="385"/>
        <v>1.56986576507974</v>
      </c>
      <c r="T420" s="4" t="str">
        <f t="shared" si="374"/>
        <v>1+10,3163466458958i</v>
      </c>
      <c r="U420" s="4">
        <f t="shared" si="386"/>
        <v>10.3647000978458</v>
      </c>
      <c r="V420" s="4">
        <f t="shared" si="387"/>
        <v>1.47416468607041</v>
      </c>
      <c r="W420" t="str">
        <f t="shared" si="375"/>
        <v>1-5,41147647719981i</v>
      </c>
      <c r="X420" s="4">
        <f t="shared" si="388"/>
        <v>5.5030970973886</v>
      </c>
      <c r="Y420" s="4">
        <f t="shared" si="389"/>
        <v>-1.38806524902384</v>
      </c>
      <c r="Z420" t="str">
        <f t="shared" si="376"/>
        <v>0,910491575825045+1,69813145604233i</v>
      </c>
      <c r="AA420" s="4">
        <f t="shared" si="390"/>
        <v>1.9268226051323</v>
      </c>
      <c r="AB420" s="4">
        <f t="shared" si="391"/>
        <v>1.07863109718029</v>
      </c>
      <c r="AC420" s="67" t="str">
        <f t="shared" si="392"/>
        <v>-1,72903547518928-1,13082177282558i</v>
      </c>
      <c r="AD420" s="68">
        <f t="shared" si="393"/>
        <v>6.30257129799309</v>
      </c>
      <c r="AE420" s="31">
        <f t="shared" si="394"/>
        <v>-146.81455789992</v>
      </c>
      <c r="AF420" s="32" t="str">
        <f t="shared" si="395"/>
        <v>249,914648392112</v>
      </c>
      <c r="AG420" s="32" t="str">
        <f t="shared" si="377"/>
        <v>1+690,826784323379i</v>
      </c>
      <c r="AH420" s="32">
        <f t="shared" si="396"/>
        <v>690.827508093432</v>
      </c>
      <c r="AI420" s="32">
        <f t="shared" si="397"/>
        <v>1.56934878694231</v>
      </c>
      <c r="AJ420" s="32" t="str">
        <f t="shared" si="378"/>
        <v>1+10,3163466458958i</v>
      </c>
      <c r="AK420" s="32">
        <f t="shared" si="398"/>
        <v>10.3647000978458</v>
      </c>
      <c r="AL420" s="32">
        <f t="shared" si="399"/>
        <v>1.47416468607041</v>
      </c>
      <c r="AM420" s="32" t="str">
        <f t="shared" si="379"/>
        <v>1-1,04398777027587i</v>
      </c>
      <c r="AN420" s="32">
        <f t="shared" si="400"/>
        <v>1.44565226264326</v>
      </c>
      <c r="AO420" s="32">
        <f t="shared" si="401"/>
        <v>-0.806915406331947</v>
      </c>
      <c r="AP420" s="30" t="str">
        <f t="shared" si="402"/>
        <v>3,36054056050862-4,25312083842617i</v>
      </c>
      <c r="AQ420" s="32">
        <f t="shared" si="403"/>
        <v>14.6808534118205</v>
      </c>
      <c r="AR420" s="31">
        <f t="shared" si="404"/>
        <v>-51.6864944636118</v>
      </c>
      <c r="AS420" t="str">
        <f t="shared" si="380"/>
        <v>-0,000100699300699301</v>
      </c>
      <c r="AT420" t="str">
        <f t="shared" si="381"/>
        <v>0,147836931845203i</v>
      </c>
      <c r="AU420">
        <f t="shared" si="405"/>
        <v>0.147836931845203</v>
      </c>
      <c r="AV420">
        <f t="shared" si="406"/>
        <v>1.5707963267949</v>
      </c>
      <c r="AW420" t="str">
        <f t="shared" si="382"/>
        <v>1+7,56897975067682i</v>
      </c>
      <c r="AX420">
        <f t="shared" si="407"/>
        <v>7.63475307172116</v>
      </c>
      <c r="AY420">
        <f t="shared" si="408"/>
        <v>1.43943888978084</v>
      </c>
      <c r="AZ420" t="str">
        <f t="shared" si="383"/>
        <v>1+361,861648931294i</v>
      </c>
      <c r="BA420">
        <f t="shared" si="409"/>
        <v>361.863030672208</v>
      </c>
      <c r="BB420">
        <f t="shared" si="410"/>
        <v>1.56803284672635</v>
      </c>
      <c r="BC420" s="30" t="str">
        <f t="shared" si="411"/>
        <v>-0,00414014631271385+0,0320178347866185i</v>
      </c>
      <c r="BD420" s="32">
        <f t="shared" si="412"/>
        <v>-29.8201453071072</v>
      </c>
      <c r="BE420" s="31">
        <f t="shared" si="413"/>
        <v>97.3678910038649</v>
      </c>
      <c r="BF420" s="30" t="str">
        <f t="shared" si="414"/>
        <v>0,0433649245425968-0,0506782045917124i</v>
      </c>
      <c r="BG420" s="68">
        <f t="shared" si="415"/>
        <v>-23.5175740091142</v>
      </c>
      <c r="BH420" s="31">
        <f t="shared" si="416"/>
        <v>-49.4466668960551</v>
      </c>
      <c r="BI420" s="30" t="str">
        <f t="shared" si="369"/>
        <v>0,122262590721938+0,125205775016832i</v>
      </c>
      <c r="BJ420" s="68">
        <f t="shared" si="417"/>
        <v>-15.1392918952867</v>
      </c>
      <c r="BK420" s="31">
        <f t="shared" si="370"/>
        <v>45.6813965402532</v>
      </c>
      <c r="BL420" s="32">
        <f t="shared" si="418"/>
        <v>-23.5175740091142</v>
      </c>
      <c r="BM420" s="31">
        <f t="shared" si="419"/>
        <v>-49.4466668960551</v>
      </c>
      <c r="BO420">
        <f t="shared" si="420"/>
        <v>0</v>
      </c>
      <c r="BP420">
        <f t="shared" si="421"/>
        <v>0</v>
      </c>
    </row>
    <row r="421" spans="14:68">
      <c r="N421" s="7">
        <v>3</v>
      </c>
      <c r="O421" s="18">
        <f t="shared" si="422"/>
        <v>107151.930523761</v>
      </c>
      <c r="P421" s="86" t="str">
        <f t="shared" si="372"/>
        <v>75</v>
      </c>
      <c r="Q421" s="4" t="str">
        <f t="shared" si="373"/>
        <v>1+1099,65054465461i</v>
      </c>
      <c r="R421" s="4">
        <f t="shared" si="384"/>
        <v>1099.65099934442</v>
      </c>
      <c r="S421" s="4">
        <f t="shared" si="385"/>
        <v>1.56988694723863</v>
      </c>
      <c r="T421" s="4" t="str">
        <f t="shared" si="374"/>
        <v>1+10,5566452286843i</v>
      </c>
      <c r="U421" s="4">
        <f t="shared" si="386"/>
        <v>10.6039029835388</v>
      </c>
      <c r="V421" s="4">
        <f t="shared" si="387"/>
        <v>1.4763510833056</v>
      </c>
      <c r="W421" t="str">
        <f t="shared" si="375"/>
        <v>1-5,53752595701072i</v>
      </c>
      <c r="X421" s="4">
        <f t="shared" si="388"/>
        <v>5.62709460774985</v>
      </c>
      <c r="Y421" s="4">
        <f t="shared" si="389"/>
        <v>-1.39213577812976</v>
      </c>
      <c r="Z421" t="str">
        <f t="shared" si="376"/>
        <v>0,906273173755355+1,73768601893963i</v>
      </c>
      <c r="AA421" s="4">
        <f t="shared" si="390"/>
        <v>1.95981727869893</v>
      </c>
      <c r="AB421" s="4">
        <f t="shared" si="391"/>
        <v>1.09006539808063</v>
      </c>
      <c r="AC421" s="67" t="str">
        <f t="shared" si="392"/>
        <v>-1,75287198269743-1,11331374796735i</v>
      </c>
      <c r="AD421" s="68">
        <f t="shared" si="393"/>
        <v>6.34681540954552</v>
      </c>
      <c r="AE421" s="31">
        <f t="shared" si="394"/>
        <v>-147.578861535737</v>
      </c>
      <c r="AF421" s="32" t="str">
        <f t="shared" si="395"/>
        <v>249,914648392112</v>
      </c>
      <c r="AG421" s="32" t="str">
        <f t="shared" si="377"/>
        <v>1+706,918207277964i</v>
      </c>
      <c r="AH421" s="32">
        <f t="shared" si="396"/>
        <v>706.918914573016</v>
      </c>
      <c r="AI421" s="32">
        <f t="shared" si="397"/>
        <v>1.56938173692766</v>
      </c>
      <c r="AJ421" s="32" t="str">
        <f t="shared" si="378"/>
        <v>1+10,5566452286843i</v>
      </c>
      <c r="AK421" s="32">
        <f t="shared" si="398"/>
        <v>10.6039029835388</v>
      </c>
      <c r="AL421" s="32">
        <f t="shared" si="399"/>
        <v>1.4763510833056</v>
      </c>
      <c r="AM421" s="32" t="str">
        <f t="shared" si="379"/>
        <v>1-1,06830536935011i</v>
      </c>
      <c r="AN421" s="32">
        <f t="shared" si="400"/>
        <v>1.46331007041648</v>
      </c>
      <c r="AO421" s="32">
        <f t="shared" si="401"/>
        <v>-0.818410964345432</v>
      </c>
      <c r="AP421" s="30" t="str">
        <f t="shared" si="402"/>
        <v>3,36051730868079-4,33575160882547i</v>
      </c>
      <c r="AQ421" s="32">
        <f t="shared" si="403"/>
        <v>14.784484350671</v>
      </c>
      <c r="AR421" s="31">
        <f t="shared" si="404"/>
        <v>-52.2217579821125</v>
      </c>
      <c r="AS421" t="str">
        <f t="shared" si="380"/>
        <v>-0,000100699300699301</v>
      </c>
      <c r="AT421" t="str">
        <f t="shared" si="381"/>
        <v>0,151280496357484i</v>
      </c>
      <c r="AU421">
        <f t="shared" si="405"/>
        <v>0.151280496357484</v>
      </c>
      <c r="AV421">
        <f t="shared" si="406"/>
        <v>1.5707963267949</v>
      </c>
      <c r="AW421" t="str">
        <f t="shared" si="382"/>
        <v>1+7,74528393758255i</v>
      </c>
      <c r="AX421">
        <f t="shared" si="407"/>
        <v>7.80957254104053</v>
      </c>
      <c r="AY421">
        <f t="shared" si="408"/>
        <v>1.44239581948677</v>
      </c>
      <c r="AZ421" t="str">
        <f t="shared" si="383"/>
        <v>1+370,290489526552i</v>
      </c>
      <c r="BA421">
        <f t="shared" si="409"/>
        <v>370.291839815319</v>
      </c>
      <c r="BB421">
        <f t="shared" si="410"/>
        <v>1.56809575090314</v>
      </c>
      <c r="BC421" s="30" t="str">
        <f t="shared" si="411"/>
        <v>-0,00395686427292266+0,0313126835832849i</v>
      </c>
      <c r="BD421" s="32">
        <f t="shared" si="412"/>
        <v>-30.0167921584364</v>
      </c>
      <c r="BE421" s="31">
        <f t="shared" si="413"/>
        <v>97.2020755552416</v>
      </c>
      <c r="BF421" s="30" t="str">
        <f t="shared" si="414"/>
        <v>0,0417967176423652-0,0504818943623242i</v>
      </c>
      <c r="BG421" s="68">
        <f t="shared" si="415"/>
        <v>-23.6699767488908</v>
      </c>
      <c r="BH421" s="31">
        <f t="shared" si="416"/>
        <v>-50.3767859804951</v>
      </c>
      <c r="BI421" s="30" t="str">
        <f t="shared" si="369"/>
        <v>0,122466907345613+0,122382795800102i</v>
      </c>
      <c r="BJ421" s="68">
        <f t="shared" si="417"/>
        <v>-15.2323078077653</v>
      </c>
      <c r="BK421" s="31">
        <f t="shared" si="370"/>
        <v>44.9803175731291</v>
      </c>
      <c r="BL421" s="32">
        <f t="shared" si="418"/>
        <v>-23.6699767488908</v>
      </c>
      <c r="BM421" s="31">
        <f t="shared" si="419"/>
        <v>-50.3767859804951</v>
      </c>
      <c r="BO421">
        <f t="shared" si="420"/>
        <v>0</v>
      </c>
      <c r="BP421">
        <f t="shared" si="421"/>
        <v>0</v>
      </c>
    </row>
    <row r="422" spans="14:68">
      <c r="N422" s="7">
        <v>4</v>
      </c>
      <c r="O422" s="18">
        <f t="shared" si="422"/>
        <v>109647.819614319</v>
      </c>
      <c r="P422" s="86" t="str">
        <f t="shared" si="372"/>
        <v>75</v>
      </c>
      <c r="Q422" s="4" t="str">
        <f t="shared" si="373"/>
        <v>1+1125,26469630278i</v>
      </c>
      <c r="R422" s="4">
        <f t="shared" si="384"/>
        <v>1125.26514064259</v>
      </c>
      <c r="S422" s="4">
        <f t="shared" si="385"/>
        <v>1.56990764723351</v>
      </c>
      <c r="T422" s="4" t="str">
        <f t="shared" si="374"/>
        <v>1+10,8025410845067i</v>
      </c>
      <c r="U422" s="4">
        <f t="shared" si="386"/>
        <v>10.8487277540943</v>
      </c>
      <c r="V422" s="4">
        <f t="shared" si="387"/>
        <v>1.47848858753972</v>
      </c>
      <c r="W422" t="str">
        <f t="shared" si="375"/>
        <v>1-5,66651150638186i</v>
      </c>
      <c r="X422" s="4">
        <f t="shared" si="388"/>
        <v>5.75407270130974</v>
      </c>
      <c r="Y422" s="4">
        <f t="shared" si="389"/>
        <v>-1.39611944161335</v>
      </c>
      <c r="Z422" t="str">
        <f t="shared" si="376"/>
        <v>0,901855964521026+1,77816192596517i</v>
      </c>
      <c r="AA422" s="4">
        <f t="shared" si="390"/>
        <v>1.99379136714309</v>
      </c>
      <c r="AB422" s="4">
        <f t="shared" si="391"/>
        <v>1.10141774138534</v>
      </c>
      <c r="AC422" s="67" t="str">
        <f t="shared" si="392"/>
        <v>-1,77616640421652-1,09543025197149i</v>
      </c>
      <c r="AD422" s="68">
        <f t="shared" si="393"/>
        <v>6.38961685261689</v>
      </c>
      <c r="AE422" s="31">
        <f t="shared" si="394"/>
        <v>-148.336266050326</v>
      </c>
      <c r="AF422" s="32" t="str">
        <f t="shared" si="395"/>
        <v>249,914648392112</v>
      </c>
      <c r="AG422" s="32" t="str">
        <f t="shared" si="377"/>
        <v>1+723,384447623215i</v>
      </c>
      <c r="AH422" s="32">
        <f t="shared" si="396"/>
        <v>723.385138818281</v>
      </c>
      <c r="AI422" s="32">
        <f t="shared" si="397"/>
        <v>1.56941393688275</v>
      </c>
      <c r="AJ422" s="32" t="str">
        <f t="shared" si="378"/>
        <v>1+10,8025410845067i</v>
      </c>
      <c r="AK422" s="32">
        <f t="shared" si="398"/>
        <v>10.8487277540943</v>
      </c>
      <c r="AL422" s="32">
        <f t="shared" si="399"/>
        <v>1.47848858753972</v>
      </c>
      <c r="AM422" s="32" t="str">
        <f t="shared" si="379"/>
        <v>1-1,09318939807187i</v>
      </c>
      <c r="AN422" s="32">
        <f t="shared" si="400"/>
        <v>1.4815745205884</v>
      </c>
      <c r="AO422" s="32">
        <f t="shared" si="401"/>
        <v>-0.82988907396664</v>
      </c>
      <c r="AP422" s="30" t="str">
        <f t="shared" si="402"/>
        <v>3,36049510335348-4,42068124915668i</v>
      </c>
      <c r="AQ422" s="32">
        <f t="shared" si="403"/>
        <v>14.8904888294936</v>
      </c>
      <c r="AR422" s="31">
        <f t="shared" si="404"/>
        <v>-52.7587801704169</v>
      </c>
      <c r="AS422" t="str">
        <f t="shared" si="380"/>
        <v>-0,000100699300699301</v>
      </c>
      <c r="AT422" t="str">
        <f t="shared" si="381"/>
        <v>0,154804271791368i</v>
      </c>
      <c r="AU422">
        <f t="shared" si="405"/>
        <v>0.154804271791368</v>
      </c>
      <c r="AV422">
        <f t="shared" si="406"/>
        <v>1.5707963267949</v>
      </c>
      <c r="AW422" t="str">
        <f t="shared" si="382"/>
        <v>1+7,92569477655292i</v>
      </c>
      <c r="AX422">
        <f t="shared" si="407"/>
        <v>7.98853163548084</v>
      </c>
      <c r="AY422">
        <f t="shared" si="408"/>
        <v>1.44528762451635</v>
      </c>
      <c r="AZ422" t="str">
        <f t="shared" si="383"/>
        <v>1+378,915663040731i</v>
      </c>
      <c r="BA422">
        <f t="shared" si="409"/>
        <v>378.916982593281</v>
      </c>
      <c r="BB422">
        <f t="shared" si="410"/>
        <v>1.5681572232267</v>
      </c>
      <c r="BC422" s="30" t="str">
        <f t="shared" si="411"/>
        <v>-0,00378156666834072+0,0306220375181241i</v>
      </c>
      <c r="BD422" s="32">
        <f t="shared" si="412"/>
        <v>-30.213587505574</v>
      </c>
      <c r="BE422" s="31">
        <f t="shared" si="413"/>
        <v>97.0399094365689</v>
      </c>
      <c r="BF422" s="30" t="str">
        <f t="shared" si="414"/>
        <v>0,0402609979459709-0,0502473917400024i</v>
      </c>
      <c r="BG422" s="68">
        <f t="shared" si="415"/>
        <v>-23.8239706529571</v>
      </c>
      <c r="BH422" s="31">
        <f t="shared" si="416"/>
        <v>-51.2963566137576</v>
      </c>
      <c r="BI422" s="30" t="str">
        <f t="shared" si="369"/>
        <v>0,12266233079538+0,119622307997532i</v>
      </c>
      <c r="BJ422" s="68">
        <f t="shared" si="417"/>
        <v>-15.3230986760804</v>
      </c>
      <c r="BK422" s="31">
        <f t="shared" si="370"/>
        <v>44.2811292661518</v>
      </c>
      <c r="BL422" s="32">
        <f t="shared" si="418"/>
        <v>-23.8239706529571</v>
      </c>
      <c r="BM422" s="31">
        <f t="shared" si="419"/>
        <v>-51.2963566137576</v>
      </c>
      <c r="BO422">
        <f t="shared" si="420"/>
        <v>0</v>
      </c>
      <c r="BP422">
        <f t="shared" si="421"/>
        <v>0</v>
      </c>
    </row>
    <row r="423" spans="14:68">
      <c r="N423" s="7">
        <v>5</v>
      </c>
      <c r="O423" s="18">
        <f t="shared" si="422"/>
        <v>112201.845430197</v>
      </c>
      <c r="P423" s="86" t="str">
        <f t="shared" si="372"/>
        <v>75</v>
      </c>
      <c r="Q423" s="4" t="str">
        <f t="shared" si="373"/>
        <v>1+1151,47547818757i</v>
      </c>
      <c r="R423" s="4">
        <f t="shared" si="384"/>
        <v>1151.47591241297</v>
      </c>
      <c r="S423" s="4">
        <f t="shared" si="385"/>
        <v>1.56992787603972</v>
      </c>
      <c r="T423" s="4" t="str">
        <f t="shared" si="374"/>
        <v>1+11,0541645906006i</v>
      </c>
      <c r="U423" s="4">
        <f t="shared" si="386"/>
        <v>11.0993042482891</v>
      </c>
      <c r="V423" s="4">
        <f t="shared" si="387"/>
        <v>1.48057825393395</v>
      </c>
      <c r="W423" t="str">
        <f t="shared" si="375"/>
        <v>1-5,79850151515882i</v>
      </c>
      <c r="X423" s="4">
        <f t="shared" si="388"/>
        <v>5.88409889628813</v>
      </c>
      <c r="Y423" s="4">
        <f t="shared" si="389"/>
        <v>-1.40001784566297</v>
      </c>
      <c r="Z423" t="str">
        <f t="shared" si="376"/>
        <v>0,897230578629046+1,81958063798061i</v>
      </c>
      <c r="AA423" s="4">
        <f t="shared" si="390"/>
        <v>2.02876721418228</v>
      </c>
      <c r="AB423" s="4">
        <f t="shared" si="391"/>
        <v>1.11268598723526</v>
      </c>
      <c r="AC423" s="67" t="str">
        <f t="shared" si="392"/>
        <v>-1,7989107244837-1,07719389663141i</v>
      </c>
      <c r="AD423" s="68">
        <f t="shared" si="393"/>
        <v>6.43099815543899</v>
      </c>
      <c r="AE423" s="31">
        <f t="shared" si="394"/>
        <v>-149.086681039163</v>
      </c>
      <c r="AF423" s="32" t="str">
        <f t="shared" si="395"/>
        <v>249,914648392112</v>
      </c>
      <c r="AG423" s="32" t="str">
        <f t="shared" si="377"/>
        <v>1+740,234235977721i</v>
      </c>
      <c r="AH423" s="32">
        <f t="shared" si="396"/>
        <v>740.234911439281</v>
      </c>
      <c r="AI423" s="32">
        <f t="shared" si="397"/>
        <v>1.56944540388014</v>
      </c>
      <c r="AJ423" s="32" t="str">
        <f t="shared" si="378"/>
        <v>1+11,0541645906006i</v>
      </c>
      <c r="AK423" s="32">
        <f t="shared" si="398"/>
        <v>11.0993042482891</v>
      </c>
      <c r="AL423" s="32">
        <f t="shared" si="399"/>
        <v>1.48057825393395</v>
      </c>
      <c r="AM423" s="32" t="str">
        <f t="shared" si="379"/>
        <v>1-1,11865305028256i</v>
      </c>
      <c r="AN423" s="32">
        <f t="shared" si="400"/>
        <v>1.50046147798152</v>
      </c>
      <c r="AO423" s="32">
        <f t="shared" si="401"/>
        <v>-0.841343724409501</v>
      </c>
      <c r="AP423" s="30" t="str">
        <f t="shared" si="402"/>
        <v>3,36047389742678-4,50795479043692i</v>
      </c>
      <c r="AQ423" s="32">
        <f t="shared" si="403"/>
        <v>14.9988550996812</v>
      </c>
      <c r="AR423" s="31">
        <f t="shared" si="404"/>
        <v>-53.2971571577554</v>
      </c>
      <c r="AS423" t="str">
        <f t="shared" si="380"/>
        <v>-0,000100699300699301</v>
      </c>
      <c r="AT423" t="str">
        <f t="shared" si="381"/>
        <v>0,158410126499232i</v>
      </c>
      <c r="AU423">
        <f t="shared" si="405"/>
        <v>0.158410126499232</v>
      </c>
      <c r="AV423">
        <f t="shared" si="406"/>
        <v>1.5707963267949</v>
      </c>
      <c r="AW423" t="str">
        <f t="shared" si="382"/>
        <v>1+8,11030792380279i</v>
      </c>
      <c r="AX423">
        <f t="shared" si="407"/>
        <v>8.17172531469936</v>
      </c>
      <c r="AY423">
        <f t="shared" si="408"/>
        <v>1.44811564457724</v>
      </c>
      <c r="AZ423" t="str">
        <f t="shared" si="383"/>
        <v>1+387,741742654997i</v>
      </c>
      <c r="BA423">
        <f t="shared" si="409"/>
        <v>387.743032170965</v>
      </c>
      <c r="BB423">
        <f t="shared" si="410"/>
        <v>1.56821729628861</v>
      </c>
      <c r="BC423" s="30" t="str">
        <f t="shared" si="411"/>
        <v>-0,00361391688805013+0,029945666042137i</v>
      </c>
      <c r="BD423" s="32">
        <f t="shared" si="412"/>
        <v>-30.4105248748426</v>
      </c>
      <c r="BE423" s="31">
        <f t="shared" si="413"/>
        <v>96.8813177556118</v>
      </c>
      <c r="BF423" s="30" t="str">
        <f t="shared" si="414"/>
        <v>0,0387584025384586-0,0499766905802668i</v>
      </c>
      <c r="BG423" s="68">
        <f t="shared" si="415"/>
        <v>-23.9795267194036</v>
      </c>
      <c r="BH423" s="31">
        <f t="shared" si="416"/>
        <v>-52.2053632835516</v>
      </c>
      <c r="BI423" s="30" t="str">
        <f t="shared" si="369"/>
        <v>0,122849235317713+0,116923003023387i</v>
      </c>
      <c r="BJ423" s="68">
        <f t="shared" si="417"/>
        <v>-15.4116697751614</v>
      </c>
      <c r="BK423" s="31">
        <f t="shared" si="370"/>
        <v>43.5841605978564</v>
      </c>
      <c r="BL423" s="32">
        <f t="shared" si="418"/>
        <v>-23.9795267194036</v>
      </c>
      <c r="BM423" s="31">
        <f t="shared" si="419"/>
        <v>-52.2053632835516</v>
      </c>
      <c r="BO423">
        <f t="shared" si="420"/>
        <v>0</v>
      </c>
      <c r="BP423">
        <f t="shared" si="421"/>
        <v>0</v>
      </c>
    </row>
    <row r="424" spans="14:68">
      <c r="N424" s="7">
        <v>6</v>
      </c>
      <c r="O424" s="18">
        <f t="shared" si="422"/>
        <v>114815.362149688</v>
      </c>
      <c r="P424" s="86" t="str">
        <f t="shared" si="372"/>
        <v>75</v>
      </c>
      <c r="Q424" s="4" t="str">
        <f t="shared" si="373"/>
        <v>1+1178,29678761246i</v>
      </c>
      <c r="R424" s="4">
        <f t="shared" si="384"/>
        <v>1178.29721195369</v>
      </c>
      <c r="S424" s="4">
        <f t="shared" si="385"/>
        <v>1.56994764438277</v>
      </c>
      <c r="T424" s="4" t="str">
        <f t="shared" si="374"/>
        <v>1+11,3116491610796i</v>
      </c>
      <c r="U424" s="4">
        <f t="shared" si="386"/>
        <v>11.3557653526019</v>
      </c>
      <c r="V424" s="4">
        <f t="shared" si="387"/>
        <v>1.48262111741706</v>
      </c>
      <c r="W424" t="str">
        <f t="shared" si="375"/>
        <v>1-5,9335659661913i</v>
      </c>
      <c r="X424" s="4">
        <f t="shared" si="388"/>
        <v>6.01724231481031</v>
      </c>
      <c r="Y424" s="4">
        <f t="shared" si="389"/>
        <v>-1.40383258305815</v>
      </c>
      <c r="Z424" t="str">
        <f t="shared" si="376"/>
        <v>0,892387205015804+1,86196411573529i</v>
      </c>
      <c r="AA424" s="4">
        <f t="shared" si="390"/>
        <v>2.06476761209629</v>
      </c>
      <c r="AB424" s="4">
        <f t="shared" si="391"/>
        <v>1.1238682236525</v>
      </c>
      <c r="AC424" s="67" t="str">
        <f t="shared" si="392"/>
        <v>-1,82109832265327-1,05862714477856i</v>
      </c>
      <c r="AD424" s="68">
        <f t="shared" si="393"/>
        <v>6.47098289959462</v>
      </c>
      <c r="AE424" s="31">
        <f t="shared" si="394"/>
        <v>-149.830029531004</v>
      </c>
      <c r="AF424" s="32" t="str">
        <f t="shared" si="395"/>
        <v>249,914648392112</v>
      </c>
      <c r="AG424" s="32" t="str">
        <f t="shared" si="377"/>
        <v>1+757,476506322294i</v>
      </c>
      <c r="AH424" s="32">
        <f t="shared" si="396"/>
        <v>757.477166408485</v>
      </c>
      <c r="AI424" s="32">
        <f t="shared" si="397"/>
        <v>1.56947615460381</v>
      </c>
      <c r="AJ424" s="32" t="str">
        <f t="shared" si="378"/>
        <v>1+11,3116491610796i</v>
      </c>
      <c r="AK424" s="32">
        <f t="shared" si="398"/>
        <v>11.3557653526019</v>
      </c>
      <c r="AL424" s="32">
        <f t="shared" si="399"/>
        <v>1.48262111741706</v>
      </c>
      <c r="AM424" s="32" t="str">
        <f t="shared" si="379"/>
        <v>1-1,14470982714763i</v>
      </c>
      <c r="AN424" s="32">
        <f t="shared" si="400"/>
        <v>1.5199870355922</v>
      </c>
      <c r="AO424" s="32">
        <f t="shared" si="401"/>
        <v>-0.852768966435738</v>
      </c>
      <c r="AP424" s="30" t="str">
        <f t="shared" si="402"/>
        <v>3,36045364592064-4,59761850643755i</v>
      </c>
      <c r="AQ424" s="32">
        <f t="shared" si="403"/>
        <v>15.1095692055329</v>
      </c>
      <c r="AR424" s="31">
        <f t="shared" si="404"/>
        <v>-53.8364897367537</v>
      </c>
      <c r="AS424" t="str">
        <f t="shared" si="380"/>
        <v>-0,000100699300699301</v>
      </c>
      <c r="AT424" t="str">
        <f t="shared" si="381"/>
        <v>0,162099972352971i</v>
      </c>
      <c r="AU424">
        <f t="shared" si="405"/>
        <v>0.162099972352971</v>
      </c>
      <c r="AV424">
        <f t="shared" si="406"/>
        <v>1.5707963267949</v>
      </c>
      <c r="AW424" t="str">
        <f t="shared" si="382"/>
        <v>1+8,29922126366639i</v>
      </c>
      <c r="AX424">
        <f t="shared" si="407"/>
        <v>8.35925077882536</v>
      </c>
      <c r="AY424">
        <f t="shared" si="408"/>
        <v>1.45088119808521</v>
      </c>
      <c r="AZ424" t="str">
        <f t="shared" si="383"/>
        <v>1+396,773408073582i</v>
      </c>
      <c r="BA424">
        <f t="shared" si="409"/>
        <v>396.774668236677</v>
      </c>
      <c r="BB424">
        <f t="shared" si="410"/>
        <v>1.56827600193868</v>
      </c>
      <c r="BC424" s="30" t="str">
        <f t="shared" si="411"/>
        <v>-0,00345359153729439+0,0292833375825054i</v>
      </c>
      <c r="BD424" s="32">
        <f t="shared" si="412"/>
        <v>-30.6075980658888</v>
      </c>
      <c r="BE424" s="31">
        <f t="shared" si="413"/>
        <v>96.7262267975702</v>
      </c>
      <c r="BF424" s="30" t="str">
        <f t="shared" si="414"/>
        <v>0,0372894658102507-0,0496717712048327i</v>
      </c>
      <c r="BG424" s="68">
        <f t="shared" si="415"/>
        <v>-24.1366151662942</v>
      </c>
      <c r="BH424" s="31">
        <f t="shared" si="416"/>
        <v>-53.1038027334341</v>
      </c>
      <c r="BI424" s="30" t="str">
        <f t="shared" si="369"/>
        <v>0,123027980526563+0,114283594909396i</v>
      </c>
      <c r="BJ424" s="68">
        <f t="shared" si="417"/>
        <v>-15.4980288603559</v>
      </c>
      <c r="BK424" s="31">
        <f t="shared" si="370"/>
        <v>42.8897370608166</v>
      </c>
      <c r="BL424" s="32">
        <f t="shared" si="418"/>
        <v>-24.1366151662942</v>
      </c>
      <c r="BM424" s="31">
        <f t="shared" si="419"/>
        <v>-53.1038027334341</v>
      </c>
      <c r="BO424">
        <f t="shared" si="420"/>
        <v>0</v>
      </c>
      <c r="BP424">
        <f t="shared" si="421"/>
        <v>0</v>
      </c>
    </row>
    <row r="425" spans="14:68">
      <c r="N425" s="7">
        <v>7</v>
      </c>
      <c r="O425" s="18">
        <f t="shared" si="422"/>
        <v>117489.755493953</v>
      </c>
      <c r="P425" s="86" t="str">
        <f t="shared" si="372"/>
        <v>75</v>
      </c>
      <c r="Q425" s="4" t="str">
        <f t="shared" si="373"/>
        <v>1+1205,74284559076i</v>
      </c>
      <c r="R425" s="4">
        <f t="shared" si="384"/>
        <v>1205.74326027281</v>
      </c>
      <c r="S425" s="4">
        <f t="shared" si="385"/>
        <v>1.56996696274403</v>
      </c>
      <c r="T425" s="4" t="str">
        <f t="shared" si="374"/>
        <v>1+11,5751313176713i</v>
      </c>
      <c r="U425" s="4">
        <f t="shared" si="386"/>
        <v>11.6182470717977</v>
      </c>
      <c r="V425" s="4">
        <f t="shared" si="387"/>
        <v>1.48461819290084</v>
      </c>
      <c r="W425" t="str">
        <f t="shared" si="375"/>
        <v>1-6,07177647243916i</v>
      </c>
      <c r="X425" s="4">
        <f t="shared" si="388"/>
        <v>6.15357372030804</v>
      </c>
      <c r="Y425" s="4">
        <f t="shared" si="389"/>
        <v>-1.40756523209713</v>
      </c>
      <c r="Z425" t="str">
        <f t="shared" si="376"/>
        <v>0,887315570236498+1,90533483151016i</v>
      </c>
      <c r="AA425" s="4">
        <f t="shared" si="390"/>
        <v>2.10181582003514</v>
      </c>
      <c r="AB425" s="4">
        <f t="shared" si="391"/>
        <v>1.13496276525498</v>
      </c>
      <c r="AC425" s="67" t="str">
        <f t="shared" si="392"/>
        <v>-1,84272392718839-1,03975222240257i</v>
      </c>
      <c r="AD425" s="68">
        <f t="shared" si="393"/>
        <v>6.50959559009889</v>
      </c>
      <c r="AE425" s="31">
        <f t="shared" si="394"/>
        <v>-150.566247840774</v>
      </c>
      <c r="AF425" s="32" t="str">
        <f t="shared" si="395"/>
        <v>249,914648392112</v>
      </c>
      <c r="AG425" s="32" t="str">
        <f t="shared" si="377"/>
        <v>1+775,120400736914i</v>
      </c>
      <c r="AH425" s="32">
        <f t="shared" si="396"/>
        <v>775.121045797722</v>
      </c>
      <c r="AI425" s="32">
        <f t="shared" si="397"/>
        <v>1.56950620535796</v>
      </c>
      <c r="AJ425" s="32" t="str">
        <f t="shared" si="378"/>
        <v>1+11,5751313176713i</v>
      </c>
      <c r="AK425" s="32">
        <f t="shared" si="398"/>
        <v>11.6182470717977</v>
      </c>
      <c r="AL425" s="32">
        <f t="shared" si="399"/>
        <v>1.48461819290084</v>
      </c>
      <c r="AM425" s="32" t="str">
        <f t="shared" si="379"/>
        <v>1-1,17137354431509i</v>
      </c>
      <c r="AN425" s="32">
        <f t="shared" si="400"/>
        <v>1.54016751696733</v>
      </c>
      <c r="AO425" s="32">
        <f t="shared" si="401"/>
        <v>-0.864158927536724</v>
      </c>
      <c r="AP425" s="30" t="str">
        <f t="shared" si="402"/>
        <v>3,3604343058793-4,68971993821978i</v>
      </c>
      <c r="AQ425" s="32">
        <f t="shared" si="403"/>
        <v>15.2226150215797</v>
      </c>
      <c r="AR425" s="31">
        <f t="shared" si="404"/>
        <v>-54.3763842214528</v>
      </c>
      <c r="AS425" t="str">
        <f t="shared" si="380"/>
        <v>-0,000100699300699301</v>
      </c>
      <c r="AT425" t="str">
        <f t="shared" si="381"/>
        <v>0,1658757657577i</v>
      </c>
      <c r="AU425">
        <f t="shared" si="405"/>
        <v>0.1658757657577</v>
      </c>
      <c r="AV425">
        <f t="shared" si="406"/>
        <v>1.5707963267949</v>
      </c>
      <c r="AW425" t="str">
        <f t="shared" si="382"/>
        <v>1+8,49253496049727i</v>
      </c>
      <c r="AX425">
        <f t="shared" si="407"/>
        <v>8.55120752030194</v>
      </c>
      <c r="AY425">
        <f t="shared" si="408"/>
        <v>1.45358558206863</v>
      </c>
      <c r="AZ425" t="str">
        <f t="shared" si="383"/>
        <v>1+406,01544800505i</v>
      </c>
      <c r="BA425">
        <f t="shared" si="409"/>
        <v>406.016679483419</v>
      </c>
      <c r="BB425">
        <f t="shared" si="410"/>
        <v>1.56833337130179</v>
      </c>
      <c r="BC425" s="30" t="str">
        <f t="shared" si="411"/>
        <v>-0,00330028000429079+0,0286348199448112i</v>
      </c>
      <c r="BD425" s="32">
        <f t="shared" si="412"/>
        <v>-30.8048011409166</v>
      </c>
      <c r="BE425" s="31">
        <f t="shared" si="413"/>
        <v>96.5745640315169</v>
      </c>
      <c r="BF425" s="30" t="str">
        <f t="shared" si="414"/>
        <v>0,0358546226060429-0,0493345943940228i</v>
      </c>
      <c r="BG425" s="68">
        <f t="shared" si="415"/>
        <v>-24.2952055508177</v>
      </c>
      <c r="BH425" s="31">
        <f t="shared" si="416"/>
        <v>-53.9916838092569</v>
      </c>
      <c r="BI425" s="30" t="str">
        <f t="shared" si="369"/>
        <v>0,123198911877088+0,111702820223051i</v>
      </c>
      <c r="BJ425" s="68">
        <f t="shared" si="417"/>
        <v>-15.5821861193369</v>
      </c>
      <c r="BK425" s="31">
        <f t="shared" si="370"/>
        <v>42.1981798100642</v>
      </c>
      <c r="BL425" s="32">
        <f t="shared" si="418"/>
        <v>-24.2952055508177</v>
      </c>
      <c r="BM425" s="31">
        <f t="shared" si="419"/>
        <v>-53.9916838092569</v>
      </c>
      <c r="BO425">
        <f t="shared" si="420"/>
        <v>0</v>
      </c>
      <c r="BP425">
        <f t="shared" si="421"/>
        <v>0</v>
      </c>
    </row>
    <row r="426" spans="14:68">
      <c r="N426" s="7">
        <v>8</v>
      </c>
      <c r="O426" s="18">
        <f t="shared" si="422"/>
        <v>120226.443461741</v>
      </c>
      <c r="P426" s="86" t="str">
        <f t="shared" si="372"/>
        <v>75</v>
      </c>
      <c r="Q426" s="4" t="str">
        <f t="shared" si="373"/>
        <v>1+1233,82820438567i</v>
      </c>
      <c r="R426" s="4">
        <f t="shared" si="384"/>
        <v>1233.82860962841</v>
      </c>
      <c r="S426" s="4">
        <f t="shared" si="385"/>
        <v>1.56998584136631</v>
      </c>
      <c r="T426" s="4" t="str">
        <f t="shared" si="374"/>
        <v>1+11,8447507621024i</v>
      </c>
      <c r="U426" s="4">
        <f t="shared" si="386"/>
        <v>11.8868886011574</v>
      </c>
      <c r="V426" s="4">
        <f t="shared" si="387"/>
        <v>1.48657047550616</v>
      </c>
      <c r="W426" t="str">
        <f t="shared" si="375"/>
        <v>1-6,21320631494213i</v>
      </c>
      <c r="X426" s="4">
        <f t="shared" si="388"/>
        <v>6.29316555574671</v>
      </c>
      <c r="Y426" s="4">
        <f t="shared" si="389"/>
        <v>-1.41121735562372</v>
      </c>
      <c r="Z426" t="str">
        <f t="shared" si="376"/>
        <v>0,882004916673802+1,94971578103277i</v>
      </c>
      <c r="AA426" s="4">
        <f t="shared" si="390"/>
        <v>2.13993558310641</v>
      </c>
      <c r="AB426" s="4">
        <f t="shared" si="391"/>
        <v>1.14596815125163</v>
      </c>
      <c r="AC426" s="67" t="str">
        <f t="shared" si="392"/>
        <v>-1,86378356541806-1,02059103679005i</v>
      </c>
      <c r="AD426" s="68">
        <f t="shared" si="393"/>
        <v>6.54686152934443</v>
      </c>
      <c r="AE426" s="31">
        <f t="shared" si="394"/>
        <v>-151.295285386306</v>
      </c>
      <c r="AF426" s="32" t="str">
        <f t="shared" si="395"/>
        <v>249,914648392112</v>
      </c>
      <c r="AG426" s="32" t="str">
        <f t="shared" si="377"/>
        <v>1+793,175274247931i</v>
      </c>
      <c r="AH426" s="32">
        <f t="shared" si="396"/>
        <v>793.175904625374</v>
      </c>
      <c r="AI426" s="32">
        <f t="shared" si="397"/>
        <v>1.56953557207569</v>
      </c>
      <c r="AJ426" s="32" t="str">
        <f t="shared" si="378"/>
        <v>1+11,8447507621024i</v>
      </c>
      <c r="AK426" s="32">
        <f t="shared" si="398"/>
        <v>11.8868886011574</v>
      </c>
      <c r="AL426" s="32">
        <f t="shared" si="399"/>
        <v>1.48657047550616</v>
      </c>
      <c r="AM426" s="32" t="str">
        <f t="shared" si="379"/>
        <v>1-1,19865833924069i</v>
      </c>
      <c r="AN426" s="32">
        <f t="shared" si="400"/>
        <v>1.56101947913255</v>
      </c>
      <c r="AO426" s="32">
        <f t="shared" si="401"/>
        <v>-0.875507826630733</v>
      </c>
      <c r="AP426" s="30" t="str">
        <f t="shared" si="402"/>
        <v>3,36041583628034-4,78430791934235i</v>
      </c>
      <c r="AQ426" s="32">
        <f t="shared" si="403"/>
        <v>15.3379742994303</v>
      </c>
      <c r="AR426" s="31">
        <f t="shared" si="404"/>
        <v>-54.9164532769418</v>
      </c>
      <c r="AS426" t="str">
        <f t="shared" si="380"/>
        <v>-0,000100699300699301</v>
      </c>
      <c r="AT426" t="str">
        <f t="shared" si="381"/>
        <v>0,169739508689057i</v>
      </c>
      <c r="AU426">
        <f t="shared" si="405"/>
        <v>0.169739508689057</v>
      </c>
      <c r="AV426">
        <f t="shared" si="406"/>
        <v>1.5707963267949</v>
      </c>
      <c r="AW426" t="str">
        <f t="shared" si="382"/>
        <v>1+8,69035151177614i</v>
      </c>
      <c r="AX426">
        <f t="shared" si="407"/>
        <v>8.74769737692325</v>
      </c>
      <c r="AY426">
        <f t="shared" si="408"/>
        <v>1.45623007211031</v>
      </c>
      <c r="AZ426" t="str">
        <f t="shared" si="383"/>
        <v>1+415,472762701297i</v>
      </c>
      <c r="BA426">
        <f t="shared" si="409"/>
        <v>415.473966147878</v>
      </c>
      <c r="BB426">
        <f t="shared" si="410"/>
        <v>1.56838943479443</v>
      </c>
      <c r="BC426" s="30" t="str">
        <f t="shared" si="411"/>
        <v>-0,00315368403337996+0,0279998806849221i</v>
      </c>
      <c r="BD426" s="32">
        <f t="shared" si="412"/>
        <v>-31.0021284142762</v>
      </c>
      <c r="BE426" s="31">
        <f t="shared" si="413"/>
        <v>96.426258114677</v>
      </c>
      <c r="BF426" s="30" t="str">
        <f t="shared" si="414"/>
        <v>0,0344542117301572-0,0489670957968889i</v>
      </c>
      <c r="BG426" s="68">
        <f t="shared" si="415"/>
        <v>-24.4552668849318</v>
      </c>
      <c r="BH426" s="31">
        <f t="shared" si="416"/>
        <v>-54.8690272716287</v>
      </c>
      <c r="BI426" s="30" t="str">
        <f t="shared" si="369"/>
        <v>0,123362361133119+0,109179437963576i</v>
      </c>
      <c r="BJ426" s="68">
        <f t="shared" si="417"/>
        <v>-15.6641541148459</v>
      </c>
      <c r="BK426" s="31">
        <f t="shared" si="370"/>
        <v>41.5098048377354</v>
      </c>
      <c r="BL426" s="32">
        <f t="shared" si="418"/>
        <v>-24.4552668849318</v>
      </c>
      <c r="BM426" s="31">
        <f t="shared" si="419"/>
        <v>-54.8690272716287</v>
      </c>
      <c r="BO426">
        <f t="shared" si="420"/>
        <v>0</v>
      </c>
      <c r="BP426">
        <f t="shared" si="421"/>
        <v>0</v>
      </c>
    </row>
    <row r="427" spans="14:68">
      <c r="N427" s="7">
        <v>9</v>
      </c>
      <c r="O427" s="18">
        <f t="shared" si="422"/>
        <v>123026.877081238</v>
      </c>
      <c r="P427" s="86" t="str">
        <f t="shared" si="372"/>
        <v>75</v>
      </c>
      <c r="Q427" s="4" t="str">
        <f t="shared" si="373"/>
        <v>1+1262,56775522621i</v>
      </c>
      <c r="R427" s="4">
        <f t="shared" si="384"/>
        <v>1262.5681512445</v>
      </c>
      <c r="S427" s="4">
        <f t="shared" si="385"/>
        <v>1.57000429025923</v>
      </c>
      <c r="T427" s="4" t="str">
        <f t="shared" si="374"/>
        <v>1+12,1206504501716i</v>
      </c>
      <c r="U427" s="4">
        <f t="shared" si="386"/>
        <v>12.1618324003928</v>
      </c>
      <c r="V427" s="4">
        <f t="shared" si="387"/>
        <v>1.48847894079847</v>
      </c>
      <c r="W427" t="str">
        <f t="shared" si="375"/>
        <v>1-6,35793048167482i</v>
      </c>
      <c r="X427" s="4">
        <f t="shared" si="388"/>
        <v>6.43609198270269</v>
      </c>
      <c r="Y427" s="4">
        <f t="shared" si="389"/>
        <v>-1.41479050014791</v>
      </c>
      <c r="Z427" t="str">
        <f t="shared" si="376"/>
        <v>0,876443979719493+1,99513049567003i</v>
      </c>
      <c r="AA427" s="4">
        <f t="shared" si="390"/>
        <v>2.17915115224692</v>
      </c>
      <c r="AB427" s="4">
        <f t="shared" si="391"/>
        <v>1.15688314277031</v>
      </c>
      <c r="AC427" s="67" t="str">
        <f t="shared" si="392"/>
        <v>-1,88427450847126-1,0011651009251i</v>
      </c>
      <c r="AD427" s="68">
        <f t="shared" si="393"/>
        <v>6.5828066952794</v>
      </c>
      <c r="AE427" s="31">
        <f t="shared" si="394"/>
        <v>-152.017104471678</v>
      </c>
      <c r="AF427" s="32" t="str">
        <f t="shared" si="395"/>
        <v>249,914648392112</v>
      </c>
      <c r="AG427" s="32" t="str">
        <f t="shared" si="377"/>
        <v>1+811,650699788275i</v>
      </c>
      <c r="AH427" s="32">
        <f t="shared" si="396"/>
        <v>811.651315816587</v>
      </c>
      <c r="AI427" s="32">
        <f t="shared" si="397"/>
        <v>1.56956427032741</v>
      </c>
      <c r="AJ427" s="32" t="str">
        <f t="shared" si="378"/>
        <v>1+12,1206504501716i</v>
      </c>
      <c r="AK427" s="32">
        <f t="shared" si="398"/>
        <v>12.1618324003928</v>
      </c>
      <c r="AL427" s="32">
        <f t="shared" si="399"/>
        <v>1.48847894079847</v>
      </c>
      <c r="AM427" s="32" t="str">
        <f t="shared" si="379"/>
        <v>1-1,22657867868389i</v>
      </c>
      <c r="AN427" s="32">
        <f t="shared" si="400"/>
        <v>1.58255971609349</v>
      </c>
      <c r="AO427" s="32">
        <f t="shared" si="401"/>
        <v>-0.886809988188645</v>
      </c>
      <c r="AP427" s="30" t="str">
        <f t="shared" si="402"/>
        <v>3,36039819794773-4,88143260175508i</v>
      </c>
      <c r="AQ427" s="32">
        <f t="shared" si="403"/>
        <v>15.4556267236654</v>
      </c>
      <c r="AR427" s="31">
        <f t="shared" si="404"/>
        <v>-55.4563167156915</v>
      </c>
      <c r="AS427" t="str">
        <f t="shared" si="380"/>
        <v>-0,000100699300699301</v>
      </c>
      <c r="AT427" t="str">
        <f t="shared" si="381"/>
        <v>0,173693249754691i</v>
      </c>
      <c r="AU427">
        <f t="shared" si="405"/>
        <v>0.173693249754691</v>
      </c>
      <c r="AV427">
        <f t="shared" si="406"/>
        <v>1.5707963267949</v>
      </c>
      <c r="AW427" t="str">
        <f t="shared" si="382"/>
        <v>1+8,892775802457i</v>
      </c>
      <c r="AX427">
        <f t="shared" si="407"/>
        <v>8.94882458609871</v>
      </c>
      <c r="AY427">
        <f t="shared" si="408"/>
        <v>1.45881592232379</v>
      </c>
      <c r="AZ427" t="str">
        <f t="shared" si="383"/>
        <v>1+425,150366555763i</v>
      </c>
      <c r="BA427">
        <f t="shared" si="409"/>
        <v>425.151542608632</v>
      </c>
      <c r="BB427">
        <f t="shared" si="410"/>
        <v>1.5684442221408</v>
      </c>
      <c r="BC427" s="30" t="str">
        <f t="shared" si="411"/>
        <v>-0,00301351730525334+0,0273782874522285i</v>
      </c>
      <c r="BD427" s="32">
        <f t="shared" si="412"/>
        <v>-31.1995744424045</v>
      </c>
      <c r="BE427" s="31">
        <f t="shared" si="413"/>
        <v>96.2812388947097</v>
      </c>
      <c r="BF427" s="30" t="str">
        <f t="shared" si="414"/>
        <v>0,0330884797593926-0,0485711807747792i</v>
      </c>
      <c r="BG427" s="68">
        <f t="shared" si="415"/>
        <v>-24.6167677471251</v>
      </c>
      <c r="BH427" s="31">
        <f t="shared" si="416"/>
        <v>-55.7358655769684</v>
      </c>
      <c r="BI427" s="30" t="str">
        <f t="shared" si="369"/>
        <v>0,123518646827473+0,10671222943718i</v>
      </c>
      <c r="BJ427" s="68">
        <f t="shared" si="417"/>
        <v>-15.7439477187391</v>
      </c>
      <c r="BK427" s="31">
        <f t="shared" si="370"/>
        <v>40.824922179018</v>
      </c>
      <c r="BL427" s="32">
        <f t="shared" si="418"/>
        <v>-24.6167677471251</v>
      </c>
      <c r="BM427" s="31">
        <f t="shared" si="419"/>
        <v>-55.7358655769684</v>
      </c>
      <c r="BO427">
        <f t="shared" si="420"/>
        <v>0</v>
      </c>
      <c r="BP427">
        <f t="shared" si="421"/>
        <v>0</v>
      </c>
    </row>
    <row r="428" spans="14:68">
      <c r="N428" s="7">
        <v>10</v>
      </c>
      <c r="O428" s="18">
        <f t="shared" si="422"/>
        <v>125892.541179417</v>
      </c>
      <c r="P428" s="86" t="str">
        <f t="shared" si="372"/>
        <v>75</v>
      </c>
      <c r="Q428" s="4" t="str">
        <f t="shared" si="373"/>
        <v>1+1291,97673620262i</v>
      </c>
      <c r="R428" s="4">
        <f t="shared" si="384"/>
        <v>1291.97712320643</v>
      </c>
      <c r="S428" s="4">
        <f t="shared" si="385"/>
        <v>1.5700223192046</v>
      </c>
      <c r="T428" s="4" t="str">
        <f t="shared" si="374"/>
        <v>1+12,4029766675452i</v>
      </c>
      <c r="U428" s="4">
        <f t="shared" si="386"/>
        <v>12.4432242692829</v>
      </c>
      <c r="V428" s="4">
        <f t="shared" si="387"/>
        <v>1.4903445450317</v>
      </c>
      <c r="W428" t="str">
        <f t="shared" si="375"/>
        <v>1-6,50602570730607i</v>
      </c>
      <c r="X428" s="4">
        <f t="shared" si="388"/>
        <v>6.58242892131221</v>
      </c>
      <c r="Y428" s="4">
        <f t="shared" si="389"/>
        <v>-1.41828619505485</v>
      </c>
      <c r="Z428" t="str">
        <f t="shared" si="376"/>
        <v>0,870620963880724+2,04160305490478i</v>
      </c>
      <c r="AA428" s="4">
        <f t="shared" si="390"/>
        <v>2.21948730488488</v>
      </c>
      <c r="AB428" s="4">
        <f t="shared" si="391"/>
        <v>1.1677067195721</v>
      </c>
      <c r="AC428" s="67" t="str">
        <f t="shared" si="392"/>
        <v>-1,90419521229352-0,981495464315052i</v>
      </c>
      <c r="AD428" s="68">
        <f t="shared" si="393"/>
        <v>6.61745762413326</v>
      </c>
      <c r="AE428" s="31">
        <f t="shared" si="394"/>
        <v>-152.731680039962</v>
      </c>
      <c r="AF428" s="32" t="str">
        <f t="shared" si="395"/>
        <v>249,914648392112</v>
      </c>
      <c r="AG428" s="32" t="str">
        <f t="shared" si="377"/>
        <v>1+830,556473273114i</v>
      </c>
      <c r="AH428" s="32">
        <f t="shared" si="396"/>
        <v>830.55707527892</v>
      </c>
      <c r="AI428" s="32">
        <f t="shared" si="397"/>
        <v>1.56959231532913</v>
      </c>
      <c r="AJ428" s="32" t="str">
        <f t="shared" si="378"/>
        <v>1+12,4029766675452i</v>
      </c>
      <c r="AK428" s="32">
        <f t="shared" si="398"/>
        <v>12.4432242692829</v>
      </c>
      <c r="AL428" s="32">
        <f t="shared" si="399"/>
        <v>1.4903445450317</v>
      </c>
      <c r="AM428" s="32" t="str">
        <f t="shared" si="379"/>
        <v>1-1,25514936637822i</v>
      </c>
      <c r="AN428" s="32">
        <f t="shared" si="400"/>
        <v>1.60480526292745</v>
      </c>
      <c r="AO428" s="32">
        <f t="shared" si="401"/>
        <v>-0.898059855707469</v>
      </c>
      <c r="AP428" s="30" t="str">
        <f t="shared" si="402"/>
        <v>3,36038135346849-4,98114548238999i</v>
      </c>
      <c r="AQ428" s="32">
        <f t="shared" si="403"/>
        <v>15.5755499762361</v>
      </c>
      <c r="AR428" s="31">
        <f t="shared" si="404"/>
        <v>-55.9956022560306</v>
      </c>
      <c r="AS428" t="str">
        <f t="shared" si="380"/>
        <v>-0,000100699300699301</v>
      </c>
      <c r="AT428" t="str">
        <f t="shared" si="381"/>
        <v>0,177739085280447i</v>
      </c>
      <c r="AU428">
        <f t="shared" si="405"/>
        <v>0.177739085280447</v>
      </c>
      <c r="AV428">
        <f t="shared" si="406"/>
        <v>1.5707963267949</v>
      </c>
      <c r="AW428" t="str">
        <f t="shared" si="382"/>
        <v>1+9,09991516057814i</v>
      </c>
      <c r="AX428">
        <f t="shared" si="407"/>
        <v>9.15469584037175</v>
      </c>
      <c r="AY428">
        <f t="shared" si="408"/>
        <v>1.4613443653614</v>
      </c>
      <c r="AZ428" t="str">
        <f t="shared" si="383"/>
        <v>1+435,053390762107i</v>
      </c>
      <c r="BA428">
        <f t="shared" si="409"/>
        <v>435.054540044816</v>
      </c>
      <c r="BB428">
        <f t="shared" si="410"/>
        <v>1.56849776238855</v>
      </c>
      <c r="BC428" s="30" t="str">
        <f t="shared" si="411"/>
        <v>-0,00287950502489305+0,0267698083058582i</v>
      </c>
      <c r="BD428" s="32">
        <f t="shared" si="412"/>
        <v>-31.3971340141091</v>
      </c>
      <c r="BE428" s="31">
        <f t="shared" si="413"/>
        <v>96.1394374101451</v>
      </c>
      <c r="BF428" s="30" t="str">
        <f t="shared" si="414"/>
        <v>0,0317575851149597-0,0481487196886256i</v>
      </c>
      <c r="BG428" s="68">
        <f t="shared" si="415"/>
        <v>-24.7796763899759</v>
      </c>
      <c r="BH428" s="31">
        <f t="shared" si="416"/>
        <v>-56.5922426298171</v>
      </c>
      <c r="BI428" s="30" t="str">
        <f t="shared" si="369"/>
        <v>0,123668074714302+0,104299998113197i</v>
      </c>
      <c r="BJ428" s="68">
        <f t="shared" si="417"/>
        <v>-15.8215840378731</v>
      </c>
      <c r="BK428" s="31">
        <f t="shared" si="370"/>
        <v>40.1438351541146</v>
      </c>
      <c r="BL428" s="32">
        <f t="shared" si="418"/>
        <v>-24.7796763899759</v>
      </c>
      <c r="BM428" s="31">
        <f t="shared" si="419"/>
        <v>-56.5922426298171</v>
      </c>
      <c r="BO428">
        <f t="shared" si="420"/>
        <v>0</v>
      </c>
      <c r="BP428">
        <f t="shared" si="421"/>
        <v>0</v>
      </c>
    </row>
    <row r="429" spans="14:68">
      <c r="N429" s="7">
        <v>11</v>
      </c>
      <c r="O429" s="18">
        <f t="shared" si="422"/>
        <v>128824.955169314</v>
      </c>
      <c r="P429" s="86" t="str">
        <f t="shared" si="372"/>
        <v>75</v>
      </c>
      <c r="Q429" s="4" t="str">
        <f t="shared" si="373"/>
        <v>1+1322,07074034591i</v>
      </c>
      <c r="R429" s="4">
        <f t="shared" si="384"/>
        <v>1322.07111854044</v>
      </c>
      <c r="S429" s="4">
        <f t="shared" si="385"/>
        <v>1.57003993776156</v>
      </c>
      <c r="T429" s="4" t="str">
        <f t="shared" si="374"/>
        <v>1+12,6918791073207i</v>
      </c>
      <c r="U429" s="4">
        <f t="shared" si="386"/>
        <v>12.7312134250763</v>
      </c>
      <c r="V429" s="4">
        <f t="shared" si="387"/>
        <v>1.4921682253994</v>
      </c>
      <c r="W429" t="str">
        <f t="shared" si="375"/>
        <v>1-6,65757051388475i</v>
      </c>
      <c r="X429" s="4">
        <f t="shared" si="388"/>
        <v>6.73225409111596</v>
      </c>
      <c r="Y429" s="4">
        <f t="shared" si="389"/>
        <v>-1.42170595189695</v>
      </c>
      <c r="Z429" t="str">
        <f t="shared" si="376"/>
        <v>0,864523517760197+2,08915809910304i</v>
      </c>
      <c r="AA429" s="4">
        <f t="shared" si="390"/>
        <v>2.26096936640201</v>
      </c>
      <c r="AB429" s="4">
        <f t="shared" si="391"/>
        <v>1.17843807620656</v>
      </c>
      <c r="AC429" s="67" t="str">
        <f t="shared" si="392"/>
        <v>-1,92354525543594-0,961602650328321i</v>
      </c>
      <c r="AD429" s="68">
        <f t="shared" si="393"/>
        <v>6.65084129794989</v>
      </c>
      <c r="AE429" s="31">
        <f t="shared" si="394"/>
        <v>-153.438999398285</v>
      </c>
      <c r="AF429" s="32" t="str">
        <f t="shared" si="395"/>
        <v>249,914648392112</v>
      </c>
      <c r="AG429" s="32" t="str">
        <f t="shared" si="377"/>
        <v>1+849,902618793798i</v>
      </c>
      <c r="AH429" s="32">
        <f t="shared" si="396"/>
        <v>849.903207096288</v>
      </c>
      <c r="AI429" s="32">
        <f t="shared" si="397"/>
        <v>1.56961972195051</v>
      </c>
      <c r="AJ429" s="32" t="str">
        <f t="shared" si="378"/>
        <v>1+12,6918791073207i</v>
      </c>
      <c r="AK429" s="32">
        <f t="shared" si="398"/>
        <v>12.7312134250763</v>
      </c>
      <c r="AL429" s="32">
        <f t="shared" si="399"/>
        <v>1.4921682253994</v>
      </c>
      <c r="AM429" s="32" t="str">
        <f t="shared" si="379"/>
        <v>1-1,28438555088046i</v>
      </c>
      <c r="AN429" s="32">
        <f t="shared" si="400"/>
        <v>1.62777340048009</v>
      </c>
      <c r="AO429" s="32">
        <f t="shared" si="401"/>
        <v>-0.909252004458728</v>
      </c>
      <c r="AP429" s="30" t="str">
        <f t="shared" si="402"/>
        <v>3,36036526711354-5,08349943046679i</v>
      </c>
      <c r="AQ429" s="32">
        <f t="shared" si="403"/>
        <v>15.6977198087685</v>
      </c>
      <c r="AR429" s="31">
        <f t="shared" si="404"/>
        <v>-56.533946238646</v>
      </c>
      <c r="AS429" t="str">
        <f t="shared" si="380"/>
        <v>-0,000100699300699301</v>
      </c>
      <c r="AT429" t="str">
        <f t="shared" si="381"/>
        <v>0,181879160421873i</v>
      </c>
      <c r="AU429">
        <f t="shared" si="405"/>
        <v>0.181879160421873</v>
      </c>
      <c r="AV429">
        <f t="shared" si="406"/>
        <v>1.5707963267949</v>
      </c>
      <c r="AW429" t="str">
        <f t="shared" si="382"/>
        <v>1+9,31187941416902i</v>
      </c>
      <c r="AX429">
        <f t="shared" si="407"/>
        <v>9.36542034422507</v>
      </c>
      <c r="AY429">
        <f t="shared" si="408"/>
        <v>1.4638166124518</v>
      </c>
      <c r="AZ429" t="str">
        <f t="shared" si="383"/>
        <v>1+445,187086034846i</v>
      </c>
      <c r="BA429">
        <f t="shared" si="409"/>
        <v>445.188209156754</v>
      </c>
      <c r="BB429">
        <f t="shared" si="410"/>
        <v>1.5685500839242</v>
      </c>
      <c r="BC429" s="30" t="str">
        <f t="shared" si="411"/>
        <v>-0,0027513835177594+0,026174212005422i</v>
      </c>
      <c r="BD429" s="32">
        <f t="shared" si="412"/>
        <v>-31.5948021411906</v>
      </c>
      <c r="BE429" s="31">
        <f t="shared" si="413"/>
        <v>96.0007858891225</v>
      </c>
      <c r="BF429" s="30" t="str">
        <f t="shared" si="414"/>
        <v>0,0304616023461399-0,0477015436350568i</v>
      </c>
      <c r="BG429" s="68">
        <f t="shared" si="415"/>
        <v>-24.9439608432407</v>
      </c>
      <c r="BH429" s="31">
        <f t="shared" si="416"/>
        <v>-57.4382135091624</v>
      </c>
      <c r="BI429" s="30" t="str">
        <f t="shared" si="369"/>
        <v>0,123810938212892+0,101941569462612i</v>
      </c>
      <c r="BJ429" s="68">
        <f t="shared" si="417"/>
        <v>-15.8970823324221</v>
      </c>
      <c r="BK429" s="31">
        <f t="shared" si="370"/>
        <v>39.4668396504766</v>
      </c>
      <c r="BL429" s="32">
        <f t="shared" si="418"/>
        <v>-24.9439608432407</v>
      </c>
      <c r="BM429" s="31">
        <f t="shared" si="419"/>
        <v>-57.4382135091624</v>
      </c>
      <c r="BO429">
        <f t="shared" si="420"/>
        <v>0</v>
      </c>
      <c r="BP429">
        <f t="shared" si="421"/>
        <v>0</v>
      </c>
    </row>
    <row r="430" spans="14:68">
      <c r="N430" s="7">
        <v>12</v>
      </c>
      <c r="O430" s="18">
        <f t="shared" si="422"/>
        <v>131825.673855641</v>
      </c>
      <c r="P430" s="86" t="str">
        <f t="shared" si="372"/>
        <v>75</v>
      </c>
      <c r="Q430" s="4" t="str">
        <f t="shared" si="373"/>
        <v>1+1352,86572389539i</v>
      </c>
      <c r="R430" s="4">
        <f t="shared" si="384"/>
        <v>1352.86609348117</v>
      </c>
      <c r="S430" s="4">
        <f t="shared" si="385"/>
        <v>1.57005715527165</v>
      </c>
      <c r="T430" s="4" t="str">
        <f t="shared" si="374"/>
        <v>1+12,9875109493958i</v>
      </c>
      <c r="U430" s="4">
        <f t="shared" si="386"/>
        <v>13.0259525816992</v>
      </c>
      <c r="V430" s="4">
        <f t="shared" si="387"/>
        <v>1.49395090029224</v>
      </c>
      <c r="W430" t="str">
        <f t="shared" si="375"/>
        <v>1-6,81264525247323i</v>
      </c>
      <c r="X430" s="4">
        <f t="shared" si="388"/>
        <v>6.88564705282271</v>
      </c>
      <c r="Y430" s="4">
        <f t="shared" si="389"/>
        <v>-1.42505126376423</v>
      </c>
      <c r="Z430" t="str">
        <f t="shared" si="376"/>
        <v>0,858138707857192+2,13782084257872i</v>
      </c>
      <c r="AA430" s="4">
        <f t="shared" si="390"/>
        <v>2.30362323240733</v>
      </c>
      <c r="AB430" s="4">
        <f t="shared" si="391"/>
        <v>1.18907661766319</v>
      </c>
      <c r="AC430" s="67" t="str">
        <f t="shared" si="392"/>
        <v>-1,94232527428406-0,9415066000611i</v>
      </c>
      <c r="AD430" s="68">
        <f t="shared" si="393"/>
        <v>6.68298503713519</v>
      </c>
      <c r="AE430" s="31">
        <f t="shared" si="394"/>
        <v>-154.139061918133</v>
      </c>
      <c r="AF430" s="32" t="str">
        <f t="shared" si="395"/>
        <v>249,914648392112</v>
      </c>
      <c r="AG430" s="32" t="str">
        <f t="shared" si="377"/>
        <v>1+869,699393932752i</v>
      </c>
      <c r="AH430" s="32">
        <f t="shared" si="396"/>
        <v>869.699968843851</v>
      </c>
      <c r="AI430" s="32">
        <f t="shared" si="397"/>
        <v>1.56964650472272</v>
      </c>
      <c r="AJ430" s="32" t="str">
        <f t="shared" si="378"/>
        <v>1+12,9875109493958i</v>
      </c>
      <c r="AK430" s="32">
        <f t="shared" si="398"/>
        <v>13.0259525816992</v>
      </c>
      <c r="AL430" s="32">
        <f t="shared" si="399"/>
        <v>1.49395090029224</v>
      </c>
      <c r="AM430" s="32" t="str">
        <f t="shared" si="379"/>
        <v>1-1,31430273360263i</v>
      </c>
      <c r="AN430" s="32">
        <f t="shared" si="400"/>
        <v>1.65148166067787</v>
      </c>
      <c r="AO430" s="32">
        <f t="shared" si="401"/>
        <v>-0.920381153446593</v>
      </c>
      <c r="AP430" s="30" t="str">
        <f t="shared" si="402"/>
        <v>3,36034990476188-5,18854871552555i</v>
      </c>
      <c r="AQ430" s="32">
        <f t="shared" si="403"/>
        <v>15.8221101221149</v>
      </c>
      <c r="AR430" s="31">
        <f t="shared" si="404"/>
        <v>-57.0709942974308</v>
      </c>
      <c r="AS430" t="str">
        <f t="shared" si="380"/>
        <v>-0,000100699300699301</v>
      </c>
      <c r="AT430" t="str">
        <f t="shared" si="381"/>
        <v>0,186115670301609i</v>
      </c>
      <c r="AU430">
        <f t="shared" si="405"/>
        <v>0.186115670301609</v>
      </c>
      <c r="AV430">
        <f t="shared" si="406"/>
        <v>1.5707963267949</v>
      </c>
      <c r="AW430" t="str">
        <f t="shared" si="382"/>
        <v>1+9,52878094948255i</v>
      </c>
      <c r="AX430">
        <f t="shared" si="407"/>
        <v>9.58110987220278</v>
      </c>
      <c r="AY430">
        <f t="shared" si="408"/>
        <v>1.46623385346425</v>
      </c>
      <c r="AZ430" t="str">
        <f t="shared" si="383"/>
        <v>1+455,556825393346i</v>
      </c>
      <c r="BA430">
        <f t="shared" si="409"/>
        <v>455.55792294994</v>
      </c>
      <c r="BB430">
        <f t="shared" si="410"/>
        <v>1.56860121448819</v>
      </c>
      <c r="BC430" s="30" t="str">
        <f t="shared" si="411"/>
        <v>-0,00262889983467232+0,0255912682777867i</v>
      </c>
      <c r="BD430" s="32">
        <f t="shared" si="412"/>
        <v>-31.7925740493957</v>
      </c>
      <c r="BE430" s="31">
        <f t="shared" si="413"/>
        <v>95.8652177465635</v>
      </c>
      <c r="BF430" s="30" t="str">
        <f t="shared" si="414"/>
        <v>0,0292005265799157-0,0472314406316855i</v>
      </c>
      <c r="BG430" s="68">
        <f t="shared" si="415"/>
        <v>-25.1095890122605</v>
      </c>
      <c r="BH430" s="31">
        <f t="shared" si="416"/>
        <v>-58.2738441715696</v>
      </c>
      <c r="BI430" s="30" t="str">
        <f t="shared" si="369"/>
        <v>0,12394751884231+0,0996357907804307i</v>
      </c>
      <c r="BJ430" s="68">
        <f t="shared" si="417"/>
        <v>-15.9704639272809</v>
      </c>
      <c r="BK430" s="31">
        <f t="shared" si="370"/>
        <v>38.7942234491327</v>
      </c>
      <c r="BL430" s="32">
        <f t="shared" si="418"/>
        <v>-25.1095890122605</v>
      </c>
      <c r="BM430" s="31">
        <f t="shared" si="419"/>
        <v>-58.2738441715696</v>
      </c>
      <c r="BO430">
        <f t="shared" si="420"/>
        <v>0</v>
      </c>
      <c r="BP430">
        <f t="shared" si="421"/>
        <v>0</v>
      </c>
    </row>
    <row r="431" spans="14:68">
      <c r="N431" s="7">
        <v>13</v>
      </c>
      <c r="O431" s="18">
        <f t="shared" si="422"/>
        <v>134896.288259165</v>
      </c>
      <c r="P431" s="86" t="str">
        <f t="shared" si="372"/>
        <v>75</v>
      </c>
      <c r="Q431" s="4" t="str">
        <f t="shared" si="373"/>
        <v>1+1384,37801475898i</v>
      </c>
      <c r="R431" s="4">
        <f t="shared" si="384"/>
        <v>1384.37837593196</v>
      </c>
      <c r="S431" s="4">
        <f t="shared" si="385"/>
        <v>1.57007398086379</v>
      </c>
      <c r="T431" s="4" t="str">
        <f t="shared" si="374"/>
        <v>1+13,2900289416862i</v>
      </c>
      <c r="U431" s="4">
        <f t="shared" si="386"/>
        <v>13.3275980308102</v>
      </c>
      <c r="V431" s="4">
        <f t="shared" si="387"/>
        <v>1.49569346956101</v>
      </c>
      <c r="W431" t="str">
        <f t="shared" si="375"/>
        <v>1-6,97133214575057i</v>
      </c>
      <c r="X431" s="4">
        <f t="shared" si="388"/>
        <v>7.04268925101592</v>
      </c>
      <c r="Y431" s="4">
        <f t="shared" si="389"/>
        <v>-1.42832360472795</v>
      </c>
      <c r="Z431" t="str">
        <f t="shared" si="376"/>
        <v>0,851452991133879+2,18761708696253i</v>
      </c>
      <c r="AA431" s="4">
        <f t="shared" si="390"/>
        <v>2.34747539183721</v>
      </c>
      <c r="AB431" s="4">
        <f t="shared" si="391"/>
        <v>1.19962195457377</v>
      </c>
      <c r="AC431" s="67" t="str">
        <f t="shared" si="392"/>
        <v>-1,96053689636386-0,921226622685445i</v>
      </c>
      <c r="AD431" s="68">
        <f t="shared" si="393"/>
        <v>6.71391639817263</v>
      </c>
      <c r="AE431" s="31">
        <f t="shared" si="394"/>
        <v>-154.83187871381</v>
      </c>
      <c r="AF431" s="32" t="str">
        <f t="shared" si="395"/>
        <v>249,914648392112</v>
      </c>
      <c r="AG431" s="32" t="str">
        <f t="shared" si="377"/>
        <v>1+889,9572952022i</v>
      </c>
      <c r="AH431" s="32">
        <f t="shared" si="396"/>
        <v>889.957857026734</v>
      </c>
      <c r="AI431" s="32">
        <f t="shared" si="397"/>
        <v>1.5696726778462</v>
      </c>
      <c r="AJ431" s="32" t="str">
        <f t="shared" si="378"/>
        <v>1+13,2900289416862i</v>
      </c>
      <c r="AK431" s="32">
        <f t="shared" si="398"/>
        <v>13.3275980308102</v>
      </c>
      <c r="AL431" s="32">
        <f t="shared" si="399"/>
        <v>1.49569346956101</v>
      </c>
      <c r="AM431" s="32" t="str">
        <f t="shared" si="379"/>
        <v>1-1,344916777031i</v>
      </c>
      <c r="AN431" s="32">
        <f t="shared" si="400"/>
        <v>1.6759478324636</v>
      </c>
      <c r="AO431" s="32">
        <f t="shared" si="401"/>
        <v>-0.931442176519276</v>
      </c>
      <c r="AP431" s="30" t="str">
        <f t="shared" si="402"/>
        <v>3,36033523382814-5,29634903620133i</v>
      </c>
      <c r="AQ431" s="32">
        <f t="shared" si="403"/>
        <v>15.9486930524505</v>
      </c>
      <c r="AR431" s="31">
        <f t="shared" si="404"/>
        <v>-57.6064019814947</v>
      </c>
      <c r="AS431" t="str">
        <f t="shared" si="380"/>
        <v>-0,000100699300699301</v>
      </c>
      <c r="AT431" t="str">
        <f t="shared" si="381"/>
        <v>0,190450861173271i</v>
      </c>
      <c r="AU431">
        <f t="shared" si="405"/>
        <v>0.190450861173271</v>
      </c>
      <c r="AV431">
        <f t="shared" si="406"/>
        <v>1.5707963267949</v>
      </c>
      <c r="AW431" t="str">
        <f t="shared" si="382"/>
        <v>1+9,7507347705838i</v>
      </c>
      <c r="AX431">
        <f t="shared" si="407"/>
        <v>9.80187882838142</v>
      </c>
      <c r="AY431">
        <f t="shared" si="408"/>
        <v>1.46859725699777</v>
      </c>
      <c r="AZ431" t="str">
        <f t="shared" si="383"/>
        <v>1+466,168107010676i</v>
      </c>
      <c r="BA431">
        <f t="shared" si="409"/>
        <v>466.16917958389</v>
      </c>
      <c r="BB431">
        <f t="shared" si="410"/>
        <v>1.56865118118953</v>
      </c>
      <c r="BC431" s="30" t="str">
        <f t="shared" si="411"/>
        <v>-0,00251181136575188+0,0250207480613059i</v>
      </c>
      <c r="BD431" s="32">
        <f t="shared" si="412"/>
        <v>-31.9904451696939</v>
      </c>
      <c r="BE431" s="31">
        <f t="shared" si="413"/>
        <v>95.7326675799099</v>
      </c>
      <c r="BF431" s="30" t="str">
        <f t="shared" si="414"/>
        <v>0,0279742780928429-0,0467401522475202i</v>
      </c>
      <c r="BG431" s="68">
        <f t="shared" si="415"/>
        <v>-25.2765287715213</v>
      </c>
      <c r="BH431" s="31">
        <f t="shared" si="416"/>
        <v>-59.0992111338996</v>
      </c>
      <c r="BI431" s="30" t="str">
        <f t="shared" si="369"/>
        <v>0,124078086646468+0,0973815309932629i</v>
      </c>
      <c r="BJ431" s="68">
        <f t="shared" si="417"/>
        <v>-16.0417521172434</v>
      </c>
      <c r="BK431" s="31">
        <f t="shared" si="370"/>
        <v>38.1262655984152</v>
      </c>
      <c r="BL431" s="32">
        <f t="shared" si="418"/>
        <v>-25.2765287715213</v>
      </c>
      <c r="BM431" s="31">
        <f t="shared" si="419"/>
        <v>-59.0992111338996</v>
      </c>
      <c r="BO431">
        <f t="shared" si="420"/>
        <v>0</v>
      </c>
      <c r="BP431">
        <f t="shared" si="421"/>
        <v>0</v>
      </c>
    </row>
    <row r="432" spans="14:68">
      <c r="N432" s="7">
        <v>14</v>
      </c>
      <c r="O432" s="18">
        <f t="shared" si="422"/>
        <v>138038.426460289</v>
      </c>
      <c r="P432" s="86" t="str">
        <f t="shared" si="372"/>
        <v>75</v>
      </c>
      <c r="Q432" s="4" t="str">
        <f t="shared" si="373"/>
        <v>1+1416,62432117041i</v>
      </c>
      <c r="R432" s="4">
        <f t="shared" si="384"/>
        <v>1416.62467412209</v>
      </c>
      <c r="S432" s="4">
        <f t="shared" si="385"/>
        <v>1.57009042345909</v>
      </c>
      <c r="T432" s="4" t="str">
        <f t="shared" si="374"/>
        <v>1+13,599593483236i</v>
      </c>
      <c r="U432" s="4">
        <f t="shared" si="386"/>
        <v>13.6363097247487</v>
      </c>
      <c r="V432" s="4">
        <f t="shared" si="387"/>
        <v>1.49739681478417</v>
      </c>
      <c r="W432" t="str">
        <f t="shared" si="375"/>
        <v>1-7,13371533160816i</v>
      </c>
      <c r="X432" s="4">
        <f t="shared" si="388"/>
        <v>7.2034640578281</v>
      </c>
      <c r="Y432" s="4">
        <f t="shared" si="389"/>
        <v>-1.43152442935314</v>
      </c>
      <c r="Z432" t="str">
        <f t="shared" si="376"/>
        <v>0,844452186288712+2,23857323488241i</v>
      </c>
      <c r="AA432" s="4">
        <f t="shared" si="390"/>
        <v>2.39255295089987</v>
      </c>
      <c r="AB432" s="4">
        <f t="shared" si="391"/>
        <v>1.21007389801987</v>
      </c>
      <c r="AC432" s="67" t="str">
        <f t="shared" si="392"/>
        <v>-1,97818267232907-0,900781352173314i</v>
      </c>
      <c r="AD432" s="68">
        <f t="shared" si="393"/>
        <v>6.74366307661641</v>
      </c>
      <c r="AE432" s="31">
        <f t="shared" si="394"/>
        <v>-155.517472301939</v>
      </c>
      <c r="AF432" s="32" t="str">
        <f t="shared" si="395"/>
        <v>249,914648392112</v>
      </c>
      <c r="AG432" s="32" t="str">
        <f t="shared" si="377"/>
        <v>1+910,687063609551i</v>
      </c>
      <c r="AH432" s="32">
        <f t="shared" si="396"/>
        <v>910.687612645405</v>
      </c>
      <c r="AI432" s="32">
        <f t="shared" si="397"/>
        <v>1.56969825519814</v>
      </c>
      <c r="AJ432" s="32" t="str">
        <f t="shared" si="378"/>
        <v>1+13,599593483236i</v>
      </c>
      <c r="AK432" s="32">
        <f t="shared" si="398"/>
        <v>13.6363097247487</v>
      </c>
      <c r="AL432" s="32">
        <f t="shared" si="399"/>
        <v>1.49739681478417</v>
      </c>
      <c r="AM432" s="32" t="str">
        <f t="shared" si="379"/>
        <v>1-1,37624391313665i</v>
      </c>
      <c r="AN432" s="32">
        <f t="shared" si="400"/>
        <v>1.70118996835911</v>
      </c>
      <c r="AO432" s="32">
        <f t="shared" si="401"/>
        <v>-0.942430112586275</v>
      </c>
      <c r="AP432" s="30" t="str">
        <f t="shared" si="402"/>
        <v>3,36032122319357-5,40695754975737i</v>
      </c>
      <c r="AQ432" s="32">
        <f t="shared" si="403"/>
        <v>16.0774390631832</v>
      </c>
      <c r="AR432" s="31">
        <f t="shared" si="404"/>
        <v>-58.1398353256696</v>
      </c>
      <c r="AS432" t="str">
        <f t="shared" si="380"/>
        <v>-0,000100699300699301</v>
      </c>
      <c r="AT432" t="str">
        <f t="shared" si="381"/>
        <v>0,194887031612444i</v>
      </c>
      <c r="AU432">
        <f t="shared" si="405"/>
        <v>0.194887031612444</v>
      </c>
      <c r="AV432">
        <f t="shared" si="406"/>
        <v>1.5707963267949</v>
      </c>
      <c r="AW432" t="str">
        <f t="shared" si="382"/>
        <v>1+9,97785856032675i</v>
      </c>
      <c r="AX432">
        <f t="shared" si="407"/>
        <v>10.0278443072221</v>
      </c>
      <c r="AY432">
        <f t="shared" si="408"/>
        <v>1.47090797049281</v>
      </c>
      <c r="AZ432" t="str">
        <f t="shared" si="383"/>
        <v>1+477,026557128812i</v>
      </c>
      <c r="BA432">
        <f t="shared" si="409"/>
        <v>477.027605287333</v>
      </c>
      <c r="BB432">
        <f t="shared" si="410"/>
        <v>1.56870001052024</v>
      </c>
      <c r="BC432" s="30" t="str">
        <f t="shared" si="411"/>
        <v>-0,00239988546370905+0,024462423728869i</v>
      </c>
      <c r="BD432" s="32">
        <f t="shared" si="412"/>
        <v>-32.1884111298701</v>
      </c>
      <c r="BE432" s="31">
        <f t="shared" si="413"/>
        <v>95.6030711635464</v>
      </c>
      <c r="BF432" s="30" t="str">
        <f t="shared" si="414"/>
        <v>0,0267827069638108-0,0462293706705592i</v>
      </c>
      <c r="BG432" s="68">
        <f t="shared" si="415"/>
        <v>-25.4447480532537</v>
      </c>
      <c r="BH432" s="31">
        <f t="shared" si="416"/>
        <v>-59.9144011383929</v>
      </c>
      <c r="BI432" s="30" t="str">
        <f t="shared" si="369"/>
        <v>0,124202900609237+0,0951776804534271i</v>
      </c>
      <c r="BJ432" s="68">
        <f t="shared" si="417"/>
        <v>-16.1109720666869</v>
      </c>
      <c r="BK432" s="31">
        <f t="shared" si="370"/>
        <v>37.4632358378767</v>
      </c>
      <c r="BL432" s="32">
        <f t="shared" si="418"/>
        <v>-25.4447480532537</v>
      </c>
      <c r="BM432" s="31">
        <f t="shared" si="419"/>
        <v>-59.9144011383929</v>
      </c>
      <c r="BO432">
        <f t="shared" si="420"/>
        <v>0</v>
      </c>
      <c r="BP432">
        <f t="shared" si="421"/>
        <v>0</v>
      </c>
    </row>
    <row r="433" spans="14:68">
      <c r="N433" s="7">
        <v>15</v>
      </c>
      <c r="O433" s="18">
        <f t="shared" si="422"/>
        <v>141253.754462276</v>
      </c>
      <c r="P433" s="86" t="str">
        <f t="shared" si="372"/>
        <v>75</v>
      </c>
      <c r="Q433" s="4" t="str">
        <f t="shared" si="373"/>
        <v>1+1449,62174054817i</v>
      </c>
      <c r="R433" s="4">
        <f t="shared" si="384"/>
        <v>1449.62208546569</v>
      </c>
      <c r="S433" s="4">
        <f t="shared" si="385"/>
        <v>1.57010649177559</v>
      </c>
      <c r="T433" s="4" t="str">
        <f t="shared" si="374"/>
        <v>1+13,9163687092624i</v>
      </c>
      <c r="U433" s="4">
        <f t="shared" si="386"/>
        <v>13.9522513614161</v>
      </c>
      <c r="V433" s="4">
        <f t="shared" si="387"/>
        <v>1.49906179953929</v>
      </c>
      <c r="W433" t="str">
        <f t="shared" si="375"/>
        <v>1-7,29988090776041i</v>
      </c>
      <c r="X433" s="4">
        <f t="shared" si="388"/>
        <v>7.368056817607</v>
      </c>
      <c r="Y433" s="4">
        <f t="shared" si="389"/>
        <v>-1.4346551722754</v>
      </c>
      <c r="Z433" t="str">
        <f t="shared" si="376"/>
        <v>0,837121443676007+2,29071630396243i</v>
      </c>
      <c r="AA433" s="4">
        <f t="shared" si="390"/>
        <v>2.43888365788561</v>
      </c>
      <c r="AB433" s="4">
        <f t="shared" si="391"/>
        <v>1.22043245399835</v>
      </c>
      <c r="AC433" s="67" t="str">
        <f t="shared" si="392"/>
        <v>-1,99526600719337-0,880188710240136i</v>
      </c>
      <c r="AD433" s="68">
        <f t="shared" si="393"/>
        <v>6.77225281542028</v>
      </c>
      <c r="AE433" s="31">
        <f t="shared" si="394"/>
        <v>-156.195876244839</v>
      </c>
      <c r="AF433" s="32" t="str">
        <f t="shared" si="395"/>
        <v>249,914648392112</v>
      </c>
      <c r="AG433" s="32" t="str">
        <f t="shared" si="377"/>
        <v>1+931,899690352392i</v>
      </c>
      <c r="AH433" s="32">
        <f t="shared" si="396"/>
        <v>931.900226890671</v>
      </c>
      <c r="AI433" s="32">
        <f t="shared" si="397"/>
        <v>1.56972325033986</v>
      </c>
      <c r="AJ433" s="32" t="str">
        <f t="shared" si="378"/>
        <v>1+13,9163687092624i</v>
      </c>
      <c r="AK433" s="32">
        <f t="shared" si="398"/>
        <v>13.9522513614161</v>
      </c>
      <c r="AL433" s="32">
        <f t="shared" si="399"/>
        <v>1.49906179953929</v>
      </c>
      <c r="AM433" s="32" t="str">
        <f t="shared" si="379"/>
        <v>1-1,40830075198178i</v>
      </c>
      <c r="AN433" s="32">
        <f t="shared" si="400"/>
        <v>1.72722639165584</v>
      </c>
      <c r="AO433" s="32">
        <f t="shared" si="401"/>
        <v>-0.953340174903093</v>
      </c>
      <c r="AP433" s="30" t="str">
        <f t="shared" si="402"/>
        <v>3,36030784313994-5,5204329023906i</v>
      </c>
      <c r="AQ433" s="32">
        <f t="shared" si="403"/>
        <v>16.2083170419111</v>
      </c>
      <c r="AR433" s="31">
        <f t="shared" si="404"/>
        <v>-58.670971367355</v>
      </c>
      <c r="AS433" t="str">
        <f t="shared" si="380"/>
        <v>-0,000100699300699301</v>
      </c>
      <c r="AT433" t="str">
        <f t="shared" si="381"/>
        <v>0,199426533735412i</v>
      </c>
      <c r="AU433">
        <f t="shared" si="405"/>
        <v>0.199426533735412</v>
      </c>
      <c r="AV433">
        <f t="shared" si="406"/>
        <v>1.5707963267949</v>
      </c>
      <c r="AW433" t="str">
        <f t="shared" si="382"/>
        <v>1+10,2102727427509i</v>
      </c>
      <c r="AX433">
        <f t="shared" si="407"/>
        <v>10.2591261558362</v>
      </c>
      <c r="AY433">
        <f t="shared" si="408"/>
        <v>1.47316712036365</v>
      </c>
      <c r="AZ433" t="str">
        <f t="shared" si="383"/>
        <v>1+488,137933041729i</v>
      </c>
      <c r="BA433">
        <f t="shared" si="409"/>
        <v>488.1389573413</v>
      </c>
      <c r="BB433">
        <f t="shared" si="410"/>
        <v>1.56874772836935</v>
      </c>
      <c r="BC433" s="30" t="str">
        <f t="shared" si="411"/>
        <v>-0,00229289907671294+0,0239160692910775i</v>
      </c>
      <c r="BD433" s="32">
        <f t="shared" si="412"/>
        <v>-32.3864677464245</v>
      </c>
      <c r="BE433" s="31">
        <f t="shared" si="413"/>
        <v>95.4763654420205</v>
      </c>
      <c r="BF433" s="30" t="str">
        <f t="shared" si="414"/>
        <v>0,0256255977690176-0,0457007362011254i</v>
      </c>
      <c r="BG433" s="68">
        <f t="shared" si="415"/>
        <v>-25.6142149310042</v>
      </c>
      <c r="BH433" s="31">
        <f t="shared" si="416"/>
        <v>-60.7195108028187</v>
      </c>
      <c r="BI433" s="30" t="str">
        <f t="shared" si="369"/>
        <v>0,124322209059311+0,0930231507208331i</v>
      </c>
      <c r="BJ433" s="68">
        <f t="shared" si="417"/>
        <v>-16.1781507045134</v>
      </c>
      <c r="BK433" s="31">
        <f t="shared" si="370"/>
        <v>36.8053940746655</v>
      </c>
      <c r="BL433" s="32">
        <f t="shared" si="418"/>
        <v>-25.6142149310042</v>
      </c>
      <c r="BM433" s="31">
        <f t="shared" si="419"/>
        <v>-60.7195108028187</v>
      </c>
      <c r="BO433">
        <f t="shared" si="420"/>
        <v>0</v>
      </c>
      <c r="BP433">
        <f t="shared" si="421"/>
        <v>0</v>
      </c>
    </row>
    <row r="434" spans="14:68">
      <c r="N434" s="7">
        <v>16</v>
      </c>
      <c r="O434" s="18">
        <f t="shared" si="422"/>
        <v>144543.977074593</v>
      </c>
      <c r="P434" s="86" t="str">
        <f t="shared" si="372"/>
        <v>75</v>
      </c>
      <c r="Q434" s="4" t="str">
        <f t="shared" si="373"/>
        <v>1+1483,38776856076i</v>
      </c>
      <c r="R434" s="4">
        <f t="shared" si="384"/>
        <v>1483.388105627</v>
      </c>
      <c r="S434" s="4">
        <f t="shared" si="385"/>
        <v>1.5701221943329</v>
      </c>
      <c r="T434" s="4" t="str">
        <f t="shared" si="374"/>
        <v>1+14,2405225781833i</v>
      </c>
      <c r="U434" s="4">
        <f t="shared" si="386"/>
        <v>14.2755904711416</v>
      </c>
      <c r="V434" s="4">
        <f t="shared" si="387"/>
        <v>1.50068926967759</v>
      </c>
      <c r="W434" t="str">
        <f t="shared" si="375"/>
        <v>1-7,46991697739528i</v>
      </c>
      <c r="X434" s="4">
        <f t="shared" si="388"/>
        <v>7.53655489260035</v>
      </c>
      <c r="Y434" s="4">
        <f t="shared" si="389"/>
        <v>-1.43771724783796</v>
      </c>
      <c r="Z434" t="str">
        <f t="shared" si="376"/>
        <v>0,829445213807832+2,34407394114802i</v>
      </c>
      <c r="AA434" s="4">
        <f t="shared" si="390"/>
        <v>2.48649592886816</v>
      </c>
      <c r="AB434" s="4">
        <f t="shared" si="391"/>
        <v>1.23069781759626</v>
      </c>
      <c r="AC434" s="67" t="str">
        <f t="shared" si="392"/>
        <v>-2,01179109133109-0,859465875307281i</v>
      </c>
      <c r="AD434" s="68">
        <f t="shared" si="393"/>
        <v>6.79971331862535</v>
      </c>
      <c r="AE434" s="31">
        <f t="shared" si="394"/>
        <v>-156.867134780505</v>
      </c>
      <c r="AF434" s="32" t="str">
        <f t="shared" si="395"/>
        <v>249,914648392112</v>
      </c>
      <c r="AG434" s="32" t="str">
        <f t="shared" si="377"/>
        <v>1+953,606422646205i</v>
      </c>
      <c r="AH434" s="32">
        <f t="shared" si="396"/>
        <v>953.606946971389</v>
      </c>
      <c r="AI434" s="32">
        <f t="shared" si="397"/>
        <v>1.56974767652399</v>
      </c>
      <c r="AJ434" s="32" t="str">
        <f t="shared" si="378"/>
        <v>1+14,2405225781833i</v>
      </c>
      <c r="AK434" s="32">
        <f t="shared" si="398"/>
        <v>14.2755904711416</v>
      </c>
      <c r="AL434" s="32">
        <f t="shared" si="399"/>
        <v>1.50068926967759</v>
      </c>
      <c r="AM434" s="32" t="str">
        <f t="shared" si="379"/>
        <v>1-1,44110429052667i</v>
      </c>
      <c r="AN434" s="32">
        <f t="shared" si="400"/>
        <v>1.75407570423126</v>
      </c>
      <c r="AO434" s="32">
        <f t="shared" si="401"/>
        <v>-0.9641677593946</v>
      </c>
      <c r="AP434" s="30" t="str">
        <f t="shared" si="402"/>
        <v>3,36029506528655-5,63683526032745i</v>
      </c>
      <c r="AQ434" s="32">
        <f t="shared" si="403"/>
        <v>16.3412944016547</v>
      </c>
      <c r="AR434" s="31">
        <f t="shared" si="404"/>
        <v>-59.1994986080916</v>
      </c>
      <c r="AS434" t="str">
        <f t="shared" si="380"/>
        <v>-0,000100699300699301</v>
      </c>
      <c r="AT434" t="str">
        <f t="shared" si="381"/>
        <v>0,204071774446288i</v>
      </c>
      <c r="AU434">
        <f t="shared" si="405"/>
        <v>0.204071774446288</v>
      </c>
      <c r="AV434">
        <f t="shared" si="406"/>
        <v>1.5707963267949</v>
      </c>
      <c r="AW434" t="str">
        <f t="shared" si="382"/>
        <v>1+10,4481005469322i</v>
      </c>
      <c r="AX434">
        <f t="shared" si="407"/>
        <v>10.4958470377004</v>
      </c>
      <c r="AY434">
        <f t="shared" si="408"/>
        <v>1.4753758121496</v>
      </c>
      <c r="AZ434" t="str">
        <f t="shared" si="383"/>
        <v>1+499,508126148012i</v>
      </c>
      <c r="BA434">
        <f t="shared" si="409"/>
        <v>499.509127131726</v>
      </c>
      <c r="BB434">
        <f t="shared" si="410"/>
        <v>1.56879436003661</v>
      </c>
      <c r="BC434" s="30" t="str">
        <f t="shared" si="411"/>
        <v>-0,0021906383909991+0,0233814605807823i</v>
      </c>
      <c r="BD434" s="32">
        <f t="shared" si="412"/>
        <v>-32.5846110167738</v>
      </c>
      <c r="BE434" s="31">
        <f t="shared" si="413"/>
        <v>95.3524885221665</v>
      </c>
      <c r="BF434" s="30" t="str">
        <f t="shared" si="414"/>
        <v>0,0245026742833646-0,0451558351565251i</v>
      </c>
      <c r="BG434" s="68">
        <f t="shared" si="415"/>
        <v>-25.7848976981485</v>
      </c>
      <c r="BH434" s="31">
        <f t="shared" si="416"/>
        <v>-61.5146462583387</v>
      </c>
      <c r="BI434" s="30" t="str">
        <f t="shared" ref="BI434:BI497" si="423">IMPRODUCT(AP434,BC434)</f>
        <v>0,124436250064608+0,0909168743338055i</v>
      </c>
      <c r="BJ434" s="68">
        <f t="shared" si="417"/>
        <v>-16.2433166151191</v>
      </c>
      <c r="BK434" s="31">
        <f t="shared" ref="BK434:BK497" si="424">(180/PI())*IMARGUMENT(BI434)</f>
        <v>36.152989914075</v>
      </c>
      <c r="BL434" s="32">
        <f t="shared" si="418"/>
        <v>-25.7848976981485</v>
      </c>
      <c r="BM434" s="31">
        <f t="shared" si="419"/>
        <v>-61.5146462583387</v>
      </c>
      <c r="BO434">
        <f t="shared" si="420"/>
        <v>0</v>
      </c>
      <c r="BP434">
        <f t="shared" si="421"/>
        <v>0</v>
      </c>
    </row>
    <row r="435" spans="14:68">
      <c r="N435" s="7">
        <v>17</v>
      </c>
      <c r="O435" s="18">
        <f t="shared" si="422"/>
        <v>147910.838816821</v>
      </c>
      <c r="P435" s="86" t="str">
        <f t="shared" si="372"/>
        <v>75</v>
      </c>
      <c r="Q435" s="4" t="str">
        <f t="shared" si="373"/>
        <v>1+1517,94030840321i</v>
      </c>
      <c r="R435" s="4">
        <f t="shared" si="384"/>
        <v>1517.94063779689</v>
      </c>
      <c r="S435" s="4">
        <f t="shared" si="385"/>
        <v>1.57013753945669</v>
      </c>
      <c r="T435" s="4" t="str">
        <f t="shared" si="374"/>
        <v>1+14,5722269606709i</v>
      </c>
      <c r="U435" s="4">
        <f t="shared" si="386"/>
        <v>14.6064985055729</v>
      </c>
      <c r="V435" s="4">
        <f t="shared" si="387"/>
        <v>1.50228005360103</v>
      </c>
      <c r="W435" t="str">
        <f t="shared" si="375"/>
        <v>1-7,64391369588762i</v>
      </c>
      <c r="X435" s="4">
        <f t="shared" si="388"/>
        <v>7.70904770968362</v>
      </c>
      <c r="Y435" s="4">
        <f t="shared" si="389"/>
        <v>-1.44071204978499</v>
      </c>
      <c r="Z435" t="str">
        <f t="shared" si="376"/>
        <v>0,821407214371463+2,3986744373647i</v>
      </c>
      <c r="AA435" s="4">
        <f t="shared" si="390"/>
        <v>2.53541887432597</v>
      </c>
      <c r="AB435" s="4">
        <f t="shared" si="391"/>
        <v>1.24087036692451</v>
      </c>
      <c r="AC435" s="67" t="str">
        <f t="shared" si="392"/>
        <v>-2,02776283172354-0,838629257245089i</v>
      </c>
      <c r="AD435" s="68">
        <f t="shared" si="393"/>
        <v>6.82607217038246</v>
      </c>
      <c r="AE435" s="31">
        <f t="shared" si="394"/>
        <v>-157.531302441844</v>
      </c>
      <c r="AF435" s="32" t="str">
        <f t="shared" si="395"/>
        <v>249,914648392112</v>
      </c>
      <c r="AG435" s="32" t="str">
        <f t="shared" si="377"/>
        <v>1+975,81876968778i</v>
      </c>
      <c r="AH435" s="32">
        <f t="shared" si="396"/>
        <v>975.819282077871</v>
      </c>
      <c r="AI435" s="32">
        <f t="shared" si="397"/>
        <v>1.5697715467015</v>
      </c>
      <c r="AJ435" s="32" t="str">
        <f t="shared" si="378"/>
        <v>1+14,5722269606709i</v>
      </c>
      <c r="AK435" s="32">
        <f t="shared" si="398"/>
        <v>14.6064985055729</v>
      </c>
      <c r="AL435" s="32">
        <f t="shared" si="399"/>
        <v>1.50228005360103</v>
      </c>
      <c r="AM435" s="32" t="str">
        <f t="shared" si="379"/>
        <v>1-1,47467192164166i</v>
      </c>
      <c r="AN435" s="32">
        <f t="shared" si="400"/>
        <v>1.78175679498587</v>
      </c>
      <c r="AO435" s="32">
        <f t="shared" si="401"/>
        <v>-0.974908451997249</v>
      </c>
      <c r="AP435" s="30" t="str">
        <f t="shared" si="402"/>
        <v>3,3602828625301-5,75622634172521i</v>
      </c>
      <c r="AQ435" s="32">
        <f t="shared" si="403"/>
        <v>16.4763371855789</v>
      </c>
      <c r="AR435" s="31">
        <f t="shared" si="404"/>
        <v>-59.725117418768</v>
      </c>
      <c r="AS435" t="str">
        <f t="shared" si="380"/>
        <v>-0,000100699300699301</v>
      </c>
      <c r="AT435" t="str">
        <f t="shared" si="381"/>
        <v>0,208825216713185i</v>
      </c>
      <c r="AU435">
        <f t="shared" si="405"/>
        <v>0.208825216713185</v>
      </c>
      <c r="AV435">
        <f t="shared" si="406"/>
        <v>1.5707963267949</v>
      </c>
      <c r="AW435" t="str">
        <f t="shared" si="382"/>
        <v>1+10,6914680723204i</v>
      </c>
      <c r="AX435">
        <f t="shared" si="407"/>
        <v>10.738132497853</v>
      </c>
      <c r="AY435">
        <f t="shared" si="408"/>
        <v>1.47753513068321</v>
      </c>
      <c r="AZ435" t="str">
        <f t="shared" si="383"/>
        <v>1+511,143165074551i</v>
      </c>
      <c r="BA435">
        <f t="shared" si="409"/>
        <v>511.144143273138</v>
      </c>
      <c r="BB435">
        <f t="shared" si="410"/>
        <v>1.56883993024595</v>
      </c>
      <c r="BC435" s="30" t="str">
        <f t="shared" si="411"/>
        <v>-0,00209289848333236+0,0228583754201654i</v>
      </c>
      <c r="BD435" s="32">
        <f t="shared" si="412"/>
        <v>-32.7828371117435</v>
      </c>
      <c r="BE435" s="31">
        <f t="shared" si="413"/>
        <v>95.2313796642326</v>
      </c>
      <c r="BF435" s="30" t="str">
        <f t="shared" si="414"/>
        <v>0,0234136041555146-0,044596198170028i</v>
      </c>
      <c r="BG435" s="68">
        <f t="shared" si="415"/>
        <v>-25.9567649413611</v>
      </c>
      <c r="BH435" s="31">
        <f t="shared" si="416"/>
        <v>-62.2999227776112</v>
      </c>
      <c r="BI435" s="30" t="str">
        <f t="shared" si="423"/>
        <v>0,124545251816043+0,0888578045699755i</v>
      </c>
      <c r="BJ435" s="68">
        <f t="shared" si="417"/>
        <v>-16.3064999261647</v>
      </c>
      <c r="BK435" s="31">
        <f t="shared" si="424"/>
        <v>35.5062622454647</v>
      </c>
      <c r="BL435" s="32">
        <f t="shared" si="418"/>
        <v>-25.9567649413611</v>
      </c>
      <c r="BM435" s="31">
        <f t="shared" si="419"/>
        <v>-62.2999227776112</v>
      </c>
      <c r="BO435">
        <f t="shared" si="420"/>
        <v>0</v>
      </c>
      <c r="BP435">
        <f t="shared" si="421"/>
        <v>0</v>
      </c>
    </row>
    <row r="436" spans="14:68">
      <c r="N436" s="7">
        <v>18</v>
      </c>
      <c r="O436" s="18">
        <f t="shared" si="422"/>
        <v>151356.124843621</v>
      </c>
      <c r="P436" s="86" t="str">
        <f t="shared" si="372"/>
        <v>75</v>
      </c>
      <c r="Q436" s="4" t="str">
        <f t="shared" si="373"/>
        <v>1+1553,29768028949i</v>
      </c>
      <c r="R436" s="4">
        <f t="shared" si="384"/>
        <v>1553.29800218526</v>
      </c>
      <c r="S436" s="4">
        <f t="shared" si="385"/>
        <v>1.57015253528311</v>
      </c>
      <c r="T436" s="4" t="str">
        <f t="shared" si="374"/>
        <v>1+14,9116577307792i</v>
      </c>
      <c r="U436" s="4">
        <f t="shared" si="386"/>
        <v>14.9451509286426</v>
      </c>
      <c r="V436" s="4">
        <f t="shared" si="387"/>
        <v>1.50383496254117</v>
      </c>
      <c r="W436" t="str">
        <f t="shared" si="375"/>
        <v>1-7,82196331860067i</v>
      </c>
      <c r="X436" s="4">
        <f t="shared" si="388"/>
        <v>7.88562680815764</v>
      </c>
      <c r="Y436" s="4">
        <f t="shared" si="389"/>
        <v>-1.44364095100713</v>
      </c>
      <c r="Z436" t="str">
        <f t="shared" si="376"/>
        <v>0,812990395692425+2,45454674251827i</v>
      </c>
      <c r="AA436" s="4">
        <f t="shared" si="390"/>
        <v>2.58568232671672</v>
      </c>
      <c r="AB436" s="4">
        <f t="shared" si="391"/>
        <v>1.25095065685734</v>
      </c>
      <c r="AC436" s="67" t="str">
        <f t="shared" si="392"/>
        <v>-2,04318678388455-0,817694477627663i</v>
      </c>
      <c r="AD436" s="68">
        <f t="shared" si="393"/>
        <v>6.85135675925811</v>
      </c>
      <c r="AE436" s="31">
        <f t="shared" si="394"/>
        <v>-158.188443667669</v>
      </c>
      <c r="AF436" s="32" t="str">
        <f t="shared" si="395"/>
        <v>249,914648392112</v>
      </c>
      <c r="AG436" s="32" t="str">
        <f t="shared" si="377"/>
        <v>1+998,548508757532i</v>
      </c>
      <c r="AH436" s="32">
        <f t="shared" si="396"/>
        <v>998.549009484207</v>
      </c>
      <c r="AI436" s="32">
        <f t="shared" si="397"/>
        <v>1.56979487352855</v>
      </c>
      <c r="AJ436" s="32" t="str">
        <f t="shared" si="378"/>
        <v>1+14,9116577307792i</v>
      </c>
      <c r="AK436" s="32">
        <f t="shared" si="398"/>
        <v>14.9451509286426</v>
      </c>
      <c r="AL436" s="32">
        <f t="shared" si="399"/>
        <v>1.50383496254117</v>
      </c>
      <c r="AM436" s="32" t="str">
        <f t="shared" si="379"/>
        <v>1-1,50902144332911i</v>
      </c>
      <c r="AN436" s="32">
        <f t="shared" si="400"/>
        <v>1.8102888488932</v>
      </c>
      <c r="AO436" s="32">
        <f t="shared" si="401"/>
        <v>-0.985558035009594</v>
      </c>
      <c r="AP436" s="30" t="str">
        <f t="shared" si="402"/>
        <v>3,36027120898701-5,8786694493961i</v>
      </c>
      <c r="AQ436" s="32">
        <f t="shared" si="403"/>
        <v>16.6134101744236</v>
      </c>
      <c r="AR436" s="31">
        <f t="shared" si="404"/>
        <v>-60.2475403878918</v>
      </c>
      <c r="AS436" t="str">
        <f t="shared" si="380"/>
        <v>-0,000100699300699301</v>
      </c>
      <c r="AT436" t="str">
        <f t="shared" si="381"/>
        <v>0,213689380874112i</v>
      </c>
      <c r="AU436">
        <f t="shared" si="405"/>
        <v>0.213689380874112</v>
      </c>
      <c r="AV436">
        <f t="shared" si="406"/>
        <v>1.5707963267949</v>
      </c>
      <c r="AW436" t="str">
        <f t="shared" si="382"/>
        <v>1+10,9405043555989i</v>
      </c>
      <c r="AX436">
        <f t="shared" si="407"/>
        <v>10.9861110296082</v>
      </c>
      <c r="AY436">
        <f t="shared" si="408"/>
        <v>1.47964614027409</v>
      </c>
      <c r="AZ436" t="str">
        <f t="shared" si="383"/>
        <v>1+523,049218872993i</v>
      </c>
      <c r="BA436">
        <f t="shared" si="409"/>
        <v>523.050174805103</v>
      </c>
      <c r="BB436">
        <f t="shared" si="410"/>
        <v>1.56888446315853</v>
      </c>
      <c r="BC436" s="30" t="str">
        <f t="shared" si="411"/>
        <v>-0,00199948298338768+0,0223465937714874i</v>
      </c>
      <c r="BD436" s="32">
        <f t="shared" si="412"/>
        <v>-32.9811423683443</v>
      </c>
      <c r="BE436" s="31">
        <f t="shared" si="413"/>
        <v>95.1129792721043</v>
      </c>
      <c r="BF436" s="30" t="str">
        <f t="shared" si="414"/>
        <v>0,0223580035269937-0,0440232988651133i</v>
      </c>
      <c r="BG436" s="68">
        <f t="shared" si="415"/>
        <v>-26.1297856090862</v>
      </c>
      <c r="BH436" s="31">
        <f t="shared" si="416"/>
        <v>-63.0754643955651</v>
      </c>
      <c r="BI436" s="30" t="str">
        <f t="shared" si="423"/>
        <v>0,124649433000571+0,0868449151982861i</v>
      </c>
      <c r="BJ436" s="68">
        <f t="shared" si="417"/>
        <v>-16.3677321939207</v>
      </c>
      <c r="BK436" s="31">
        <f t="shared" si="424"/>
        <v>34.8654388842125</v>
      </c>
      <c r="BL436" s="32">
        <f t="shared" si="418"/>
        <v>-26.1297856090862</v>
      </c>
      <c r="BM436" s="31">
        <f t="shared" si="419"/>
        <v>-63.0754643955651</v>
      </c>
      <c r="BO436">
        <f t="shared" si="420"/>
        <v>0</v>
      </c>
      <c r="BP436">
        <f t="shared" si="421"/>
        <v>0</v>
      </c>
    </row>
    <row r="437" spans="14:68">
      <c r="N437" s="7">
        <v>19</v>
      </c>
      <c r="O437" s="18">
        <f t="shared" si="422"/>
        <v>154881.661891248</v>
      </c>
      <c r="P437" s="86" t="str">
        <f t="shared" si="372"/>
        <v>75</v>
      </c>
      <c r="Q437" s="4" t="str">
        <f t="shared" si="373"/>
        <v>1+1589,47863116619i</v>
      </c>
      <c r="R437" s="4">
        <f t="shared" si="384"/>
        <v>1589.47894573472</v>
      </c>
      <c r="S437" s="4">
        <f t="shared" si="385"/>
        <v>1.57016718976313</v>
      </c>
      <c r="T437" s="4" t="str">
        <f t="shared" si="374"/>
        <v>1+15,2589948591954i</v>
      </c>
      <c r="U437" s="4">
        <f t="shared" si="386"/>
        <v>15.2917273096584</v>
      </c>
      <c r="V437" s="4">
        <f t="shared" si="387"/>
        <v>1.50535479083947</v>
      </c>
      <c r="W437" t="str">
        <f t="shared" si="375"/>
        <v>1-8,00416024980117i</v>
      </c>
      <c r="X437" s="4">
        <f t="shared" si="388"/>
        <v>8.06638588864289</v>
      </c>
      <c r="Y437" s="4">
        <f t="shared" si="389"/>
        <v>-1.44650530333598</v>
      </c>
      <c r="Z437" t="str">
        <f t="shared" si="376"/>
        <v>0,804176904569837+2,5117204808445i</v>
      </c>
      <c r="AA437" s="4">
        <f t="shared" si="390"/>
        <v>2.63731686904271</v>
      </c>
      <c r="AB437" s="4">
        <f t="shared" si="391"/>
        <v>1.26093941262223</v>
      </c>
      <c r="AC437" s="67" t="str">
        <f t="shared" si="392"/>
        <v>-2,05806908485117-0,796676355205645i</v>
      </c>
      <c r="AD437" s="68">
        <f t="shared" si="393"/>
        <v>6.87559420773435</v>
      </c>
      <c r="AE437" s="31">
        <f t="shared" si="394"/>
        <v>-158.838632407846</v>
      </c>
      <c r="AF437" s="32" t="str">
        <f t="shared" si="395"/>
        <v>249,914648392112</v>
      </c>
      <c r="AG437" s="32" t="str">
        <f t="shared" si="377"/>
        <v>1+1021,80769146398i</v>
      </c>
      <c r="AH437" s="32">
        <f t="shared" si="396"/>
        <v>1021.80818079273</v>
      </c>
      <c r="AI437" s="32">
        <f t="shared" si="397"/>
        <v>1.56981766937325</v>
      </c>
      <c r="AJ437" s="32" t="str">
        <f t="shared" si="378"/>
        <v>1+15,2589948591954i</v>
      </c>
      <c r="AK437" s="32">
        <f t="shared" si="398"/>
        <v>15.2917273096584</v>
      </c>
      <c r="AL437" s="32">
        <f t="shared" si="399"/>
        <v>1.50535479083947</v>
      </c>
      <c r="AM437" s="32" t="str">
        <f t="shared" si="379"/>
        <v>1-1,54417106816006i</v>
      </c>
      <c r="AN437" s="32">
        <f t="shared" si="400"/>
        <v>1.83969135665268</v>
      </c>
      <c r="AO437" s="32">
        <f t="shared" si="401"/>
        <v>-0.996112492449258</v>
      </c>
      <c r="AP437" s="30" t="str">
        <f t="shared" si="402"/>
        <v>3,36026007993871-6,00422950437156i</v>
      </c>
      <c r="AQ437" s="32">
        <f t="shared" si="403"/>
        <v>16.7524769958755</v>
      </c>
      <c r="AR437" s="31">
        <f t="shared" si="404"/>
        <v>-60.7664926128498</v>
      </c>
      <c r="AS437" t="str">
        <f t="shared" si="380"/>
        <v>-0,000100699300699301</v>
      </c>
      <c r="AT437" t="str">
        <f t="shared" si="381"/>
        <v>0,218666845973291i</v>
      </c>
      <c r="AU437">
        <f t="shared" si="405"/>
        <v>0.218666845973291</v>
      </c>
      <c r="AV437">
        <f t="shared" si="406"/>
        <v>1.5707963267949</v>
      </c>
      <c r="AW437" t="str">
        <f t="shared" si="382"/>
        <v>1+11,1953414391014i</v>
      </c>
      <c r="AX437">
        <f t="shared" si="407"/>
        <v>11.2399141428243</v>
      </c>
      <c r="AY437">
        <f t="shared" si="408"/>
        <v>1.48170988490652</v>
      </c>
      <c r="AZ437" t="str">
        <f t="shared" si="383"/>
        <v>1+535,232600290655i</v>
      </c>
      <c r="BA437">
        <f t="shared" si="409"/>
        <v>535.233534463131</v>
      </c>
      <c r="BB437">
        <f t="shared" si="410"/>
        <v>1.56892798238559</v>
      </c>
      <c r="BC437" s="30" t="str">
        <f t="shared" si="411"/>
        <v>-0,00191020374607166+0,0218458978725622i</v>
      </c>
      <c r="BD437" s="32">
        <f t="shared" si="412"/>
        <v>-33.1795232828233</v>
      </c>
      <c r="BE437" s="31">
        <f t="shared" si="413"/>
        <v>94.9972288827116</v>
      </c>
      <c r="BF437" s="30" t="str">
        <f t="shared" si="414"/>
        <v>0,0213354415688646-0,0434385528842157i</v>
      </c>
      <c r="BG437" s="68">
        <f t="shared" si="415"/>
        <v>-26.3039290750889</v>
      </c>
      <c r="BH437" s="31">
        <f t="shared" si="416"/>
        <v>-63.8414035251339</v>
      </c>
      <c r="BI437" s="30" t="str">
        <f t="shared" si="423"/>
        <v>0,124749003163452+0,0848772002231133i</v>
      </c>
      <c r="BJ437" s="68">
        <f t="shared" si="417"/>
        <v>-16.4270462869478</v>
      </c>
      <c r="BK437" s="31">
        <f t="shared" si="424"/>
        <v>34.2307362698618</v>
      </c>
      <c r="BL437" s="32">
        <f t="shared" si="418"/>
        <v>-26.3039290750889</v>
      </c>
      <c r="BM437" s="31">
        <f t="shared" si="419"/>
        <v>-63.8414035251339</v>
      </c>
      <c r="BO437">
        <f t="shared" si="420"/>
        <v>0</v>
      </c>
      <c r="BP437">
        <f t="shared" si="421"/>
        <v>0</v>
      </c>
    </row>
    <row r="438" spans="14:68">
      <c r="N438" s="7">
        <v>20</v>
      </c>
      <c r="O438" s="18">
        <f t="shared" si="422"/>
        <v>158489.319246112</v>
      </c>
      <c r="P438" s="86" t="str">
        <f t="shared" si="372"/>
        <v>75</v>
      </c>
      <c r="Q438" s="4" t="str">
        <f t="shared" si="373"/>
        <v>1+1626,50234465237i</v>
      </c>
      <c r="R438" s="4">
        <f t="shared" si="384"/>
        <v>1626.50265206044</v>
      </c>
      <c r="S438" s="4">
        <f t="shared" si="385"/>
        <v>1.57018151066673</v>
      </c>
      <c r="T438" s="4" t="str">
        <f t="shared" si="374"/>
        <v>1+15,6144225086628i</v>
      </c>
      <c r="U438" s="4">
        <f t="shared" si="386"/>
        <v>15.6464114185661</v>
      </c>
      <c r="V438" s="4">
        <f t="shared" si="387"/>
        <v>1.50684031622825</v>
      </c>
      <c r="W438" t="str">
        <f t="shared" si="375"/>
        <v>1-8,19060109271374i</v>
      </c>
      <c r="X438" s="4">
        <f t="shared" si="388"/>
        <v>8.25142086309767</v>
      </c>
      <c r="Y438" s="4">
        <f t="shared" si="389"/>
        <v>-1.44930643738382</v>
      </c>
      <c r="Z438" t="str">
        <f t="shared" si="376"/>
        <v>0,794948046407378+2,57022596661623i</v>
      </c>
      <c r="AA438" s="4">
        <f t="shared" si="390"/>
        <v>2.69035386444892</v>
      </c>
      <c r="AB438" s="4">
        <f t="shared" si="391"/>
        <v>1.27083752328216</v>
      </c>
      <c r="AC438" s="67" t="str">
        <f t="shared" si="392"/>
        <v>-2,07241638758049-0,775588896285054i</v>
      </c>
      <c r="AD438" s="68">
        <f t="shared" si="393"/>
        <v>6.89881130678922</v>
      </c>
      <c r="AE438" s="31">
        <f t="shared" si="394"/>
        <v>-159.481951724803</v>
      </c>
      <c r="AF438" s="32" t="str">
        <f t="shared" si="395"/>
        <v>249,914648392112</v>
      </c>
      <c r="AG438" s="32" t="str">
        <f t="shared" si="377"/>
        <v>1+1045,60865013367i</v>
      </c>
      <c r="AH438" s="32">
        <f t="shared" si="396"/>
        <v>1045.60912832394</v>
      </c>
      <c r="AI438" s="32">
        <f t="shared" si="397"/>
        <v>1.56983994632216</v>
      </c>
      <c r="AJ438" s="32" t="str">
        <f t="shared" si="378"/>
        <v>1+15,6144225086628i</v>
      </c>
      <c r="AK438" s="32">
        <f t="shared" si="398"/>
        <v>15.6464114185661</v>
      </c>
      <c r="AL438" s="32">
        <f t="shared" si="399"/>
        <v>1.50684031622825</v>
      </c>
      <c r="AM438" s="32" t="str">
        <f t="shared" si="379"/>
        <v>1-1,58013943293089i</v>
      </c>
      <c r="AN438" s="32">
        <f t="shared" si="400"/>
        <v>1.86998412493346</v>
      </c>
      <c r="AO438" s="32">
        <f t="shared" si="401"/>
        <v>-1.00656801442303</v>
      </c>
      <c r="AP438" s="30" t="str">
        <f t="shared" si="402"/>
        <v>3,36024945177918-6,13297308032508i</v>
      </c>
      <c r="AQ438" s="32">
        <f t="shared" si="403"/>
        <v>16.8935002351299</v>
      </c>
      <c r="AR438" s="31">
        <f t="shared" si="404"/>
        <v>-61.2817119345694</v>
      </c>
      <c r="AS438" t="str">
        <f t="shared" si="380"/>
        <v>-0,000100699300699301</v>
      </c>
      <c r="AT438" t="str">
        <f t="shared" si="381"/>
        <v>0,223760251128605i</v>
      </c>
      <c r="AU438">
        <f t="shared" si="405"/>
        <v>0.223760251128605</v>
      </c>
      <c r="AV438">
        <f t="shared" si="406"/>
        <v>1.5707963267949</v>
      </c>
      <c r="AW438" t="str">
        <f t="shared" si="382"/>
        <v>1+11,4561144408228i</v>
      </c>
      <c r="AX438">
        <f t="shared" si="407"/>
        <v>11.4996764337623</v>
      </c>
      <c r="AY438">
        <f t="shared" si="408"/>
        <v>1.48372738844973</v>
      </c>
      <c r="AZ438" t="str">
        <f t="shared" si="383"/>
        <v>1+547,699769117636i</v>
      </c>
      <c r="BA438">
        <f t="shared" si="409"/>
        <v>547.700682025787</v>
      </c>
      <c r="BB438">
        <f t="shared" si="410"/>
        <v>1.56897051100094</v>
      </c>
      <c r="BC438" s="30" t="str">
        <f t="shared" si="411"/>
        <v>-0,00182488053376829+0,0213560723579682i</v>
      </c>
      <c r="BD438" s="32">
        <f t="shared" si="412"/>
        <v>-33.3779765039838</v>
      </c>
      <c r="BE438" s="31">
        <f t="shared" si="413"/>
        <v>94.8840711547012</v>
      </c>
      <c r="BF438" s="30" t="str">
        <f t="shared" si="414"/>
        <v>0,0203454449126583-0,0428433172499706i</v>
      </c>
      <c r="BG438" s="68">
        <f t="shared" si="415"/>
        <v>-26.4791651971946</v>
      </c>
      <c r="BH438" s="31">
        <f t="shared" si="416"/>
        <v>-64.5978805701018</v>
      </c>
      <c r="BI438" s="30" t="str">
        <f t="shared" si="423"/>
        <v>0,124844163059736+0,0829536736214293i</v>
      </c>
      <c r="BJ438" s="68">
        <f t="shared" si="417"/>
        <v>-16.4844762688539</v>
      </c>
      <c r="BK438" s="31">
        <f t="shared" si="424"/>
        <v>33.6023592201318</v>
      </c>
      <c r="BL438" s="32">
        <f t="shared" si="418"/>
        <v>-26.4791651971946</v>
      </c>
      <c r="BM438" s="31">
        <f t="shared" si="419"/>
        <v>-64.5978805701018</v>
      </c>
      <c r="BO438">
        <f t="shared" si="420"/>
        <v>0</v>
      </c>
      <c r="BP438">
        <f t="shared" si="421"/>
        <v>0</v>
      </c>
    </row>
    <row r="439" spans="14:68">
      <c r="N439" s="7">
        <v>21</v>
      </c>
      <c r="O439" s="18">
        <f t="shared" si="422"/>
        <v>162181.009735893</v>
      </c>
      <c r="P439" s="86" t="str">
        <f t="shared" si="372"/>
        <v>75</v>
      </c>
      <c r="Q439" s="4" t="str">
        <f t="shared" si="373"/>
        <v>1+1664,38845121098i</v>
      </c>
      <c r="R439" s="4">
        <f t="shared" si="384"/>
        <v>1664.38875162159</v>
      </c>
      <c r="S439" s="4">
        <f t="shared" si="385"/>
        <v>1.570195505587</v>
      </c>
      <c r="T439" s="4" t="str">
        <f t="shared" si="374"/>
        <v>1+15,9781291316254i</v>
      </c>
      <c r="U439" s="4">
        <f t="shared" si="386"/>
        <v>16.0093913234356</v>
      </c>
      <c r="V439" s="4">
        <f t="shared" si="387"/>
        <v>1.50829230011206</v>
      </c>
      <c r="W439" t="str">
        <f t="shared" si="375"/>
        <v>1-8,38138470074101i</v>
      </c>
      <c r="X439" s="4">
        <f t="shared" si="388"/>
        <v>8.44082990598765</v>
      </c>
      <c r="Y439" s="4">
        <f t="shared" si="389"/>
        <v>-1.45204566242542</v>
      </c>
      <c r="Z439" t="str">
        <f t="shared" si="376"/>
        <v>0,785284245559561+2,6300942202164i</v>
      </c>
      <c r="AA439" s="4">
        <f t="shared" si="390"/>
        <v>2.74482548690072</v>
      </c>
      <c r="AB439" s="4">
        <f t="shared" si="391"/>
        <v>1.28064603514928</v>
      </c>
      <c r="AC439" s="67" t="str">
        <f t="shared" si="392"/>
        <v>-2,08623579704768-0,754445289686903i</v>
      </c>
      <c r="AD439" s="68">
        <f t="shared" si="393"/>
        <v>6.92103445541575</v>
      </c>
      <c r="AE439" s="31">
        <f t="shared" si="394"/>
        <v>-160.118493393515</v>
      </c>
      <c r="AF439" s="32" t="str">
        <f t="shared" si="395"/>
        <v>249,914648392112</v>
      </c>
      <c r="AG439" s="32" t="str">
        <f t="shared" si="377"/>
        <v>1+1069,96400434991i</v>
      </c>
      <c r="AH439" s="32">
        <f t="shared" si="396"/>
        <v>1069.96447165525</v>
      </c>
      <c r="AI439" s="32">
        <f t="shared" si="397"/>
        <v>1.56986171618672</v>
      </c>
      <c r="AJ439" s="32" t="str">
        <f t="shared" si="378"/>
        <v>1+15,9781291316254i</v>
      </c>
      <c r="AK439" s="32">
        <f t="shared" si="398"/>
        <v>16.0093913234356</v>
      </c>
      <c r="AL439" s="32">
        <f t="shared" si="399"/>
        <v>1.50829230011206</v>
      </c>
      <c r="AM439" s="32" t="str">
        <f t="shared" si="379"/>
        <v>1-1,61694560854465i</v>
      </c>
      <c r="AN439" s="32">
        <f t="shared" si="400"/>
        <v>1.90118728719499</v>
      </c>
      <c r="AO439" s="32">
        <f t="shared" si="401"/>
        <v>-1.01692100052436</v>
      </c>
      <c r="AP439" s="30" t="str">
        <f t="shared" si="402"/>
        <v>3,36023930196479-6,26496843887i</v>
      </c>
      <c r="AQ439" s="32">
        <f t="shared" si="403"/>
        <v>17.0364415459187</v>
      </c>
      <c r="AR439" s="31">
        <f t="shared" si="404"/>
        <v>-61.7929491164296</v>
      </c>
      <c r="AS439" t="str">
        <f t="shared" si="380"/>
        <v>-0,000100699300699301</v>
      </c>
      <c r="AT439" t="str">
        <f t="shared" si="381"/>
        <v>0,228972296930882i</v>
      </c>
      <c r="AU439">
        <f t="shared" si="405"/>
        <v>0.228972296930882</v>
      </c>
      <c r="AV439">
        <f t="shared" si="406"/>
        <v>1.5707963267949</v>
      </c>
      <c r="AW439" t="str">
        <f t="shared" si="382"/>
        <v>1+11,7229616260603i</v>
      </c>
      <c r="AX439">
        <f t="shared" si="407"/>
        <v>11.7655356565726</v>
      </c>
      <c r="AY439">
        <f t="shared" si="408"/>
        <v>1.4856996548793</v>
      </c>
      <c r="AZ439" t="str">
        <f t="shared" si="383"/>
        <v>1+560,45733561186i</v>
      </c>
      <c r="BA439">
        <f t="shared" si="409"/>
        <v>560.458227739717</v>
      </c>
      <c r="BB439">
        <f t="shared" si="410"/>
        <v>1.5690120715532</v>
      </c>
      <c r="BC439" s="30" t="str">
        <f t="shared" si="411"/>
        <v>-0,00174334070845984+0,0208769043669499i</v>
      </c>
      <c r="BD439" s="32">
        <f t="shared" si="412"/>
        <v>-33.5764988267628</v>
      </c>
      <c r="BE439" s="31">
        <f t="shared" si="413"/>
        <v>94.7734498564498</v>
      </c>
      <c r="BF439" s="30" t="str">
        <f t="shared" si="414"/>
        <v>0,0193875019553287-0,042238890036055i</v>
      </c>
      <c r="BG439" s="68">
        <f t="shared" si="415"/>
        <v>-26.655464371347</v>
      </c>
      <c r="BH439" s="31">
        <f t="shared" si="416"/>
        <v>-65.3450435370656</v>
      </c>
      <c r="BI439" s="30" t="str">
        <f t="shared" si="423"/>
        <v>0,124935104994967+0,0810733690738836i</v>
      </c>
      <c r="BJ439" s="68">
        <f t="shared" si="417"/>
        <v>-16.5400572808441</v>
      </c>
      <c r="BK439" s="31">
        <f t="shared" si="424"/>
        <v>32.9805007400202</v>
      </c>
      <c r="BL439" s="32">
        <f t="shared" si="418"/>
        <v>-26.655464371347</v>
      </c>
      <c r="BM439" s="31">
        <f t="shared" si="419"/>
        <v>-65.3450435370656</v>
      </c>
      <c r="BO439">
        <f t="shared" si="420"/>
        <v>0</v>
      </c>
      <c r="BP439">
        <f t="shared" si="421"/>
        <v>0</v>
      </c>
    </row>
    <row r="440" spans="14:68">
      <c r="N440" s="7">
        <v>22</v>
      </c>
      <c r="O440" s="18">
        <f t="shared" si="422"/>
        <v>165958.690743756</v>
      </c>
      <c r="P440" s="86" t="str">
        <f t="shared" si="372"/>
        <v>75</v>
      </c>
      <c r="Q440" s="4" t="str">
        <f t="shared" si="373"/>
        <v>1+1703,15703855722i</v>
      </c>
      <c r="R440" s="4">
        <f t="shared" si="384"/>
        <v>1703.15733212965</v>
      </c>
      <c r="S440" s="4">
        <f t="shared" si="385"/>
        <v>1.57020918194422</v>
      </c>
      <c r="T440" s="4" t="str">
        <f t="shared" si="374"/>
        <v>1+16,3503075701493i</v>
      </c>
      <c r="U440" s="4">
        <f t="shared" si="386"/>
        <v>16.3808594902246</v>
      </c>
      <c r="V440" s="4">
        <f t="shared" si="387"/>
        <v>1.50971148784892</v>
      </c>
      <c r="W440" t="str">
        <f t="shared" si="375"/>
        <v>1-8,57661222987743i</v>
      </c>
      <c r="X440" s="4">
        <f t="shared" si="388"/>
        <v>8.63471350663606</v>
      </c>
      <c r="Y440" s="4">
        <f t="shared" si="389"/>
        <v>-1.45472426631886</v>
      </c>
      <c r="Z440" t="str">
        <f t="shared" si="376"/>
        <v>0,775165003809128+2,69135698458557i</v>
      </c>
      <c r="AA440" s="4">
        <f t="shared" si="390"/>
        <v>2.800764752993</v>
      </c>
      <c r="AB440" s="4">
        <f t="shared" si="391"/>
        <v>1.29036614516607</v>
      </c>
      <c r="AC440" s="67" t="str">
        <f t="shared" si="392"/>
        <v>-2,09953480829768-0,733257905955096i</v>
      </c>
      <c r="AD440" s="68">
        <f t="shared" si="393"/>
        <v>6.94228960492132</v>
      </c>
      <c r="AE440" s="31">
        <f t="shared" si="394"/>
        <v>-160.748357501851</v>
      </c>
      <c r="AF440" s="32" t="str">
        <f t="shared" si="395"/>
        <v>249,914648392112</v>
      </c>
      <c r="AG440" s="32" t="str">
        <f t="shared" si="377"/>
        <v>1+1094,88666764393i</v>
      </c>
      <c r="AH440" s="32">
        <f t="shared" si="396"/>
        <v>1094.8871243121</v>
      </c>
      <c r="AI440" s="32">
        <f t="shared" si="397"/>
        <v>1.56988299050952</v>
      </c>
      <c r="AJ440" s="32" t="str">
        <f t="shared" si="378"/>
        <v>1+16,3503075701493i</v>
      </c>
      <c r="AK440" s="32">
        <f t="shared" si="398"/>
        <v>16.3808594902246</v>
      </c>
      <c r="AL440" s="32">
        <f t="shared" si="399"/>
        <v>1.50971148784892</v>
      </c>
      <c r="AM440" s="32" t="str">
        <f t="shared" si="379"/>
        <v>1-1,65460911012289i</v>
      </c>
      <c r="AN440" s="32">
        <f t="shared" si="400"/>
        <v>1.9333213150694</v>
      </c>
      <c r="AO440" s="32">
        <f t="shared" si="401"/>
        <v>-1.02716806228024</v>
      </c>
      <c r="AP440" s="30" t="str">
        <f t="shared" si="402"/>
        <v>3,36022960896646-6,40028556575375i</v>
      </c>
      <c r="AQ440" s="32">
        <f t="shared" si="403"/>
        <v>17.1812617613145</v>
      </c>
      <c r="AR440" s="31">
        <f t="shared" si="404"/>
        <v>-62.2999679687007</v>
      </c>
      <c r="AS440" t="str">
        <f t="shared" si="380"/>
        <v>-0,000100699300699301</v>
      </c>
      <c r="AT440" t="str">
        <f t="shared" si="381"/>
        <v>0,2343057468758i</v>
      </c>
      <c r="AU440">
        <f t="shared" si="405"/>
        <v>0.2343057468758</v>
      </c>
      <c r="AV440">
        <f t="shared" si="406"/>
        <v>1.5707963267949</v>
      </c>
      <c r="AW440" t="str">
        <f t="shared" si="382"/>
        <v>1+11,9960244807237i</v>
      </c>
      <c r="AX440">
        <f t="shared" si="407"/>
        <v>12.0376327964481</v>
      </c>
      <c r="AY440">
        <f t="shared" si="408"/>
        <v>1.48762766850863</v>
      </c>
      <c r="AZ440" t="str">
        <f t="shared" si="383"/>
        <v>1+573,512064003961i</v>
      </c>
      <c r="BA440">
        <f t="shared" si="409"/>
        <v>573.51293582454</v>
      </c>
      <c r="BB440">
        <f t="shared" si="410"/>
        <v>1.56905268607775</v>
      </c>
      <c r="BC440" s="30" t="str">
        <f t="shared" si="411"/>
        <v>-0,00166541893364408+0,0204081836389126i</v>
      </c>
      <c r="BD440" s="32">
        <f t="shared" si="412"/>
        <v>-33.7750871860605</v>
      </c>
      <c r="BE440" s="31">
        <f t="shared" si="413"/>
        <v>94.6653098534894</v>
      </c>
      <c r="BF440" s="30" t="str">
        <f t="shared" si="414"/>
        <v>0,0184610670209999-0,0416265103242064i</v>
      </c>
      <c r="BG440" s="68">
        <f t="shared" si="415"/>
        <v>-26.8327975811392</v>
      </c>
      <c r="BH440" s="31">
        <f t="shared" si="416"/>
        <v>-66.0830476483611</v>
      </c>
      <c r="BI440" s="30" t="str">
        <f t="shared" si="423"/>
        <v>0,12502201315522+0,0792353396906342i</v>
      </c>
      <c r="BJ440" s="68">
        <f t="shared" si="417"/>
        <v>-16.593825424746</v>
      </c>
      <c r="BK440" s="31">
        <f t="shared" si="424"/>
        <v>32.3653418847887</v>
      </c>
      <c r="BL440" s="32">
        <f t="shared" si="418"/>
        <v>-26.8327975811392</v>
      </c>
      <c r="BM440" s="31">
        <f t="shared" si="419"/>
        <v>-66.0830476483611</v>
      </c>
      <c r="BO440">
        <f t="shared" si="420"/>
        <v>0</v>
      </c>
      <c r="BP440">
        <f t="shared" si="421"/>
        <v>0</v>
      </c>
    </row>
    <row r="441" spans="14:68">
      <c r="N441" s="7">
        <v>23</v>
      </c>
      <c r="O441" s="18">
        <f t="shared" si="422"/>
        <v>169824.365246175</v>
      </c>
      <c r="P441" s="86" t="str">
        <f t="shared" si="372"/>
        <v>75</v>
      </c>
      <c r="Q441" s="4" t="str">
        <f t="shared" si="373"/>
        <v>1+1742,82866230925i</v>
      </c>
      <c r="R441" s="4">
        <f t="shared" si="384"/>
        <v>1742.82894919916</v>
      </c>
      <c r="S441" s="4">
        <f t="shared" si="385"/>
        <v>1.57022254698975</v>
      </c>
      <c r="T441" s="4" t="str">
        <f t="shared" si="374"/>
        <v>1+16,7311551581689i</v>
      </c>
      <c r="U441" s="4">
        <f t="shared" si="386"/>
        <v>16.7610128848683</v>
      </c>
      <c r="V441" s="4">
        <f t="shared" si="387"/>
        <v>1.51109860903105</v>
      </c>
      <c r="W441" t="str">
        <f t="shared" si="375"/>
        <v>1-8,77638719234303i</v>
      </c>
      <c r="X441" s="4">
        <f t="shared" si="388"/>
        <v>8.83317452278187</v>
      </c>
      <c r="Y441" s="4">
        <f t="shared" si="389"/>
        <v>-1.45734351546245</v>
      </c>
      <c r="Z441" t="str">
        <f t="shared" si="376"/>
        <v>0,76456885688762+2,75404674205229i</v>
      </c>
      <c r="AA441" s="4">
        <f t="shared" si="390"/>
        <v>2.85820555494724</v>
      </c>
      <c r="AB441" s="4">
        <f t="shared" si="391"/>
        <v>1.29999919428721</v>
      </c>
      <c r="AC441" s="67" t="str">
        <f t="shared" si="392"/>
        <v>-2,11232124665991-0,71203830047647i</v>
      </c>
      <c r="AD441" s="68">
        <f t="shared" si="393"/>
        <v>6.96260220782554</v>
      </c>
      <c r="AE441" s="31">
        <f t="shared" si="394"/>
        <v>-161.371652053049</v>
      </c>
      <c r="AF441" s="32" t="str">
        <f t="shared" si="395"/>
        <v>249,914648392112</v>
      </c>
      <c r="AG441" s="32" t="str">
        <f t="shared" si="377"/>
        <v>1+1120,38985434166i</v>
      </c>
      <c r="AH441" s="32">
        <f t="shared" si="396"/>
        <v>1120.3903006148</v>
      </c>
      <c r="AI441" s="32">
        <f t="shared" si="397"/>
        <v>1.5699037805704</v>
      </c>
      <c r="AJ441" s="32" t="str">
        <f t="shared" si="378"/>
        <v>1+16,7311551581689i</v>
      </c>
      <c r="AK441" s="32">
        <f t="shared" si="398"/>
        <v>16.7610128848683</v>
      </c>
      <c r="AL441" s="32">
        <f t="shared" si="399"/>
        <v>1.51109860903105</v>
      </c>
      <c r="AM441" s="32" t="str">
        <f t="shared" si="379"/>
        <v>1-1,69314990735265i</v>
      </c>
      <c r="AN441" s="32">
        <f t="shared" si="400"/>
        <v>1.96640703028856</v>
      </c>
      <c r="AO441" s="32">
        <f t="shared" si="401"/>
        <v>-1.03730602467559</v>
      </c>
      <c r="AP441" s="30" t="str">
        <f t="shared" si="402"/>
        <v>3,36022035222428-6,53899620796525i</v>
      </c>
      <c r="AQ441" s="32">
        <f t="shared" si="403"/>
        <v>17.327921003659</v>
      </c>
      <c r="AR441" s="31">
        <f t="shared" si="404"/>
        <v>-62.8025454201527</v>
      </c>
      <c r="AS441" t="str">
        <f t="shared" si="380"/>
        <v>-0,000100699300699301</v>
      </c>
      <c r="AT441" t="str">
        <f t="shared" si="381"/>
        <v>0,239763428829115i</v>
      </c>
      <c r="AU441">
        <f t="shared" si="405"/>
        <v>0.239763428829115</v>
      </c>
      <c r="AV441">
        <f t="shared" si="406"/>
        <v>1.5707963267949</v>
      </c>
      <c r="AW441" t="str">
        <f t="shared" si="382"/>
        <v>1+12,275447786353i</v>
      </c>
      <c r="AX441">
        <f t="shared" si="407"/>
        <v>12.3161121444829</v>
      </c>
      <c r="AY441">
        <f t="shared" si="408"/>
        <v>1.4895123942291</v>
      </c>
      <c r="AZ441" t="str">
        <f t="shared" si="383"/>
        <v>1+586,870876083728i</v>
      </c>
      <c r="BA441">
        <f t="shared" si="409"/>
        <v>586.871728059277</v>
      </c>
      <c r="BB441">
        <f t="shared" si="410"/>
        <v>1.56909237610841</v>
      </c>
      <c r="BC441" s="30" t="str">
        <f t="shared" si="411"/>
        <v>-0,00159095688594367+0,0199497025973631i</v>
      </c>
      <c r="BD441" s="32">
        <f t="shared" si="412"/>
        <v>-33.9737386508123</v>
      </c>
      <c r="BE441" s="31">
        <f t="shared" si="413"/>
        <v>94.5595970954116</v>
      </c>
      <c r="BF441" s="30" t="str">
        <f t="shared" si="414"/>
        <v>0,0175655643651361-0,0410073584237578i</v>
      </c>
      <c r="BG441" s="68">
        <f t="shared" si="415"/>
        <v>-27.0111364429867</v>
      </c>
      <c r="BH441" s="31">
        <f t="shared" si="416"/>
        <v>-66.8120549576369</v>
      </c>
      <c r="BI441" s="30" t="str">
        <f t="shared" si="423"/>
        <v>0,125105063926533+0,0774386577327029i</v>
      </c>
      <c r="BJ441" s="68">
        <f t="shared" si="417"/>
        <v>-16.6458176471533</v>
      </c>
      <c r="BK441" s="31">
        <f t="shared" si="424"/>
        <v>31.7570516752588</v>
      </c>
      <c r="BL441" s="32">
        <f t="shared" si="418"/>
        <v>-27.0111364429867</v>
      </c>
      <c r="BM441" s="31">
        <f t="shared" si="419"/>
        <v>-66.8120549576369</v>
      </c>
      <c r="BO441">
        <f t="shared" si="420"/>
        <v>0</v>
      </c>
      <c r="BP441">
        <f t="shared" si="421"/>
        <v>0</v>
      </c>
    </row>
    <row r="442" spans="14:68">
      <c r="N442" s="7">
        <v>24</v>
      </c>
      <c r="O442" s="18">
        <f t="shared" si="422"/>
        <v>173780.082874938</v>
      </c>
      <c r="P442" s="86" t="str">
        <f t="shared" si="372"/>
        <v>75</v>
      </c>
      <c r="Q442" s="4" t="str">
        <f t="shared" si="373"/>
        <v>1+1783,42435688709i</v>
      </c>
      <c r="R442" s="4">
        <f t="shared" si="384"/>
        <v>1783.42463724659</v>
      </c>
      <c r="S442" s="4">
        <f t="shared" si="385"/>
        <v>1.57023560780991</v>
      </c>
      <c r="T442" s="4" t="str">
        <f t="shared" si="374"/>
        <v>1+17,1208738261161i</v>
      </c>
      <c r="U442" s="4">
        <f t="shared" si="386"/>
        <v>17.1500530777542</v>
      </c>
      <c r="V442" s="4">
        <f t="shared" si="387"/>
        <v>1.51245437776464</v>
      </c>
      <c r="W442" t="str">
        <f t="shared" si="375"/>
        <v>1-8,98081551146714i</v>
      </c>
      <c r="X442" s="4">
        <f t="shared" si="388"/>
        <v>9.0363182353771</v>
      </c>
      <c r="Y442" s="4">
        <f t="shared" si="389"/>
        <v>-1.45990465478496</v>
      </c>
      <c r="Z442" t="str">
        <f t="shared" si="376"/>
        <v>0,753473328946772+2,81819673155573i</v>
      </c>
      <c r="AA442" s="4">
        <f t="shared" si="390"/>
        <v>2.91718269485912</v>
      </c>
      <c r="AB442" s="4">
        <f t="shared" si="391"/>
        <v>1.30954666089222</v>
      </c>
      <c r="AC442" s="67" t="str">
        <f t="shared" si="392"/>
        <v>-2,12460321029668-0,690797220178083i</v>
      </c>
      <c r="AD442" s="68">
        <f t="shared" si="393"/>
        <v>6.98199717116405</v>
      </c>
      <c r="AE442" s="31">
        <f t="shared" si="394"/>
        <v>-161.988492571924</v>
      </c>
      <c r="AF442" s="32" t="str">
        <f t="shared" si="395"/>
        <v>249,914648392112</v>
      </c>
      <c r="AG442" s="32" t="str">
        <f t="shared" si="377"/>
        <v>1+1146,48708657027i</v>
      </c>
      <c r="AH442" s="32">
        <f t="shared" si="396"/>
        <v>1146.487522685</v>
      </c>
      <c r="AI442" s="32">
        <f t="shared" si="397"/>
        <v>1.56992409739247</v>
      </c>
      <c r="AJ442" s="32" t="str">
        <f t="shared" si="378"/>
        <v>1+17,1208738261161i</v>
      </c>
      <c r="AK442" s="32">
        <f t="shared" si="398"/>
        <v>17.1500530777542</v>
      </c>
      <c r="AL442" s="32">
        <f t="shared" si="399"/>
        <v>1.51245437776464</v>
      </c>
      <c r="AM442" s="32" t="str">
        <f t="shared" si="379"/>
        <v>1-1,73258843507477i</v>
      </c>
      <c r="AN442" s="32">
        <f t="shared" si="400"/>
        <v>2.00046561713888</v>
      </c>
      <c r="AO442" s="32">
        <f t="shared" si="401"/>
        <v>-1.04733192678969</v>
      </c>
      <c r="AP442" s="30" t="str">
        <f t="shared" si="402"/>
        <v>3,36021151210343-6,68117391177604i</v>
      </c>
      <c r="AQ442" s="32">
        <f t="shared" si="403"/>
        <v>17.4763787930032</v>
      </c>
      <c r="AR442" s="31">
        <f t="shared" si="404"/>
        <v>-63.3004715388287</v>
      </c>
      <c r="AS442" t="str">
        <f t="shared" si="380"/>
        <v>-0,000100699300699301</v>
      </c>
      <c r="AT442" t="str">
        <f t="shared" si="381"/>
        <v>0,245348236526039i</v>
      </c>
      <c r="AU442">
        <f t="shared" si="405"/>
        <v>0.245348236526039</v>
      </c>
      <c r="AV442">
        <f t="shared" si="406"/>
        <v>1.5707963267949</v>
      </c>
      <c r="AW442" t="str">
        <f t="shared" si="382"/>
        <v>1+12,5613796968833i</v>
      </c>
      <c r="AX442">
        <f t="shared" si="407"/>
        <v>12.6011213742774</v>
      </c>
      <c r="AY442">
        <f t="shared" si="408"/>
        <v>1.4913547777582</v>
      </c>
      <c r="AZ442" t="str">
        <f t="shared" si="383"/>
        <v>1+600,540854870142i</v>
      </c>
      <c r="BA442">
        <f t="shared" si="409"/>
        <v>600.541687452387</v>
      </c>
      <c r="BB442">
        <f t="shared" si="410"/>
        <v>1.56913116268885</v>
      </c>
      <c r="BC442" s="30" t="str">
        <f t="shared" si="411"/>
        <v>-0,00151980297628074+0,0195012564231016i</v>
      </c>
      <c r="BD442" s="32">
        <f t="shared" si="412"/>
        <v>-34.1724504182949</v>
      </c>
      <c r="BE442" s="31">
        <f t="shared" si="413"/>
        <v>94.4562586023113</v>
      </c>
      <c r="BF442" s="30" t="str">
        <f t="shared" si="414"/>
        <v>0,0167003920094831-0,0403825563301073i</v>
      </c>
      <c r="BG442" s="68">
        <f t="shared" si="415"/>
        <v>-27.1904532471309</v>
      </c>
      <c r="BH442" s="31">
        <f t="shared" si="416"/>
        <v>-67.5322339696124</v>
      </c>
      <c r="BI442" s="30" t="str">
        <f t="shared" si="423"/>
        <v>0,125184426203854+0,0756824143295534i</v>
      </c>
      <c r="BJ442" s="68">
        <f t="shared" si="417"/>
        <v>-16.6960716252918</v>
      </c>
      <c r="BK442" s="31">
        <f t="shared" si="424"/>
        <v>31.1557870634826</v>
      </c>
      <c r="BL442" s="32">
        <f t="shared" si="418"/>
        <v>-27.1904532471309</v>
      </c>
      <c r="BM442" s="31">
        <f t="shared" si="419"/>
        <v>-67.5322339696124</v>
      </c>
      <c r="BO442">
        <f t="shared" si="420"/>
        <v>0</v>
      </c>
      <c r="BP442">
        <f t="shared" si="421"/>
        <v>0</v>
      </c>
    </row>
    <row r="443" spans="14:68">
      <c r="N443" s="7">
        <v>25</v>
      </c>
      <c r="O443" s="18">
        <f t="shared" si="422"/>
        <v>177827.941003893</v>
      </c>
      <c r="P443" s="86" t="str">
        <f t="shared" si="372"/>
        <v>75</v>
      </c>
      <c r="Q443" s="4" t="str">
        <f t="shared" si="373"/>
        <v>1+1824,96564666538i</v>
      </c>
      <c r="R443" s="4">
        <f t="shared" si="384"/>
        <v>1824.96592064312</v>
      </c>
      <c r="S443" s="4">
        <f t="shared" si="385"/>
        <v>1.57024837132968</v>
      </c>
      <c r="T443" s="4" t="str">
        <f t="shared" si="374"/>
        <v>1+17,5196702079876i</v>
      </c>
      <c r="U443" s="4">
        <f t="shared" si="386"/>
        <v>17.548186350636</v>
      </c>
      <c r="V443" s="4">
        <f t="shared" si="387"/>
        <v>1.51377949294855</v>
      </c>
      <c r="W443" t="str">
        <f t="shared" si="375"/>
        <v>1-9,19000557785066i</v>
      </c>
      <c r="X443" s="4">
        <f t="shared" si="388"/>
        <v>9.24425240465265</v>
      </c>
      <c r="Y443" s="4">
        <f t="shared" si="389"/>
        <v>-1.46240890776653</v>
      </c>
      <c r="Z443" t="str">
        <f t="shared" si="376"/>
        <v>0,74185488488421+2,88384096626952i</v>
      </c>
      <c r="AA443" s="4">
        <f t="shared" si="390"/>
        <v>2.97773192026429</v>
      </c>
      <c r="AB443" s="4">
        <f t="shared" si="391"/>
        <v>1.31901015425615</v>
      </c>
      <c r="AC443" s="67" t="str">
        <f t="shared" si="392"/>
        <v>-2,13638901521858-0,669544613471682i</v>
      </c>
      <c r="AD443" s="68">
        <f t="shared" si="393"/>
        <v>7.00049881399313</v>
      </c>
      <c r="AE443" s="31">
        <f t="shared" si="394"/>
        <v>-162.599001716212</v>
      </c>
      <c r="AF443" s="32" t="str">
        <f t="shared" si="395"/>
        <v>249,914648392112</v>
      </c>
      <c r="AG443" s="32" t="str">
        <f t="shared" si="377"/>
        <v>1+1173,19220142774i</v>
      </c>
      <c r="AH443" s="32">
        <f t="shared" si="396"/>
        <v>1173.19262761529</v>
      </c>
      <c r="AI443" s="32">
        <f t="shared" si="397"/>
        <v>1.56994395174791</v>
      </c>
      <c r="AJ443" s="32" t="str">
        <f t="shared" si="378"/>
        <v>1+17,5196702079876i</v>
      </c>
      <c r="AK443" s="32">
        <f t="shared" si="398"/>
        <v>17.548186350636</v>
      </c>
      <c r="AL443" s="32">
        <f t="shared" si="399"/>
        <v>1.51377949294855</v>
      </c>
      <c r="AM443" s="32" t="str">
        <f t="shared" si="379"/>
        <v>1-1,7729456041187i</v>
      </c>
      <c r="AN443" s="32">
        <f t="shared" si="400"/>
        <v>2.03551863542534</v>
      </c>
      <c r="AO443" s="32">
        <f t="shared" si="401"/>
        <v>-1.05724302158399</v>
      </c>
      <c r="AP443" s="30" t="str">
        <f t="shared" si="402"/>
        <v>3,36020306985296-6,82689406173644i</v>
      </c>
      <c r="AQ443" s="32">
        <f t="shared" si="403"/>
        <v>17.6265941535027</v>
      </c>
      <c r="AR443" s="31">
        <f t="shared" si="404"/>
        <v>-63.7935495042608</v>
      </c>
      <c r="AS443" t="str">
        <f t="shared" si="380"/>
        <v>-0,000100699300699301</v>
      </c>
      <c r="AT443" t="str">
        <f t="shared" si="381"/>
        <v>0,251063131105537i</v>
      </c>
      <c r="AU443">
        <f t="shared" si="405"/>
        <v>0.251063131105537</v>
      </c>
      <c r="AV443">
        <f t="shared" si="406"/>
        <v>1.5707963267949</v>
      </c>
      <c r="AW443" t="str">
        <f t="shared" si="382"/>
        <v>1+12,8539718171985i</v>
      </c>
      <c r="AX443">
        <f t="shared" si="407"/>
        <v>12.8928116203307</v>
      </c>
      <c r="AY443">
        <f t="shared" si="408"/>
        <v>1.4931557458942</v>
      </c>
      <c r="AZ443" t="str">
        <f t="shared" si="383"/>
        <v>1+614,529248366912i</v>
      </c>
      <c r="BA443">
        <f t="shared" si="409"/>
        <v>614.530061997297</v>
      </c>
      <c r="BB443">
        <f t="shared" si="410"/>
        <v>1.56916906638378</v>
      </c>
      <c r="BC443" s="30" t="str">
        <f t="shared" si="411"/>
        <v>-0,00145181208047105+0,0190626431174234i</v>
      </c>
      <c r="BD443" s="32">
        <f t="shared" si="412"/>
        <v>-34.3712198086614</v>
      </c>
      <c r="BE443" s="31">
        <f t="shared" si="413"/>
        <v>94.3552424508283</v>
      </c>
      <c r="BF443" s="30" t="str">
        <f t="shared" si="414"/>
        <v>0,0158649253986839-0,0397531683988429i</v>
      </c>
      <c r="BG443" s="68">
        <f t="shared" si="415"/>
        <v>-27.3707209946683</v>
      </c>
      <c r="BH443" s="31">
        <f t="shared" si="416"/>
        <v>-68.2437592653837</v>
      </c>
      <c r="BI443" s="30" t="str">
        <f t="shared" si="423"/>
        <v>0,12526026168969+0,0739657191936025i</v>
      </c>
      <c r="BJ443" s="68">
        <f t="shared" si="417"/>
        <v>-16.7446256551587</v>
      </c>
      <c r="BK443" s="31">
        <f t="shared" si="424"/>
        <v>30.5616929465676</v>
      </c>
      <c r="BL443" s="32">
        <f t="shared" si="418"/>
        <v>-27.3707209946683</v>
      </c>
      <c r="BM443" s="31">
        <f t="shared" si="419"/>
        <v>-68.2437592653837</v>
      </c>
      <c r="BO443">
        <f t="shared" si="420"/>
        <v>0</v>
      </c>
      <c r="BP443">
        <f t="shared" si="421"/>
        <v>0</v>
      </c>
    </row>
    <row r="444" spans="14:68">
      <c r="N444" s="7">
        <v>26</v>
      </c>
      <c r="O444" s="18">
        <f t="shared" si="422"/>
        <v>181970.085860999</v>
      </c>
      <c r="P444" s="86" t="str">
        <f t="shared" si="372"/>
        <v>75</v>
      </c>
      <c r="Q444" s="4" t="str">
        <f t="shared" si="373"/>
        <v>1+1867,4745573858i</v>
      </c>
      <c r="R444" s="4">
        <f t="shared" si="384"/>
        <v>1867.47482512705</v>
      </c>
      <c r="S444" s="4">
        <f t="shared" si="385"/>
        <v>1.57026084431645</v>
      </c>
      <c r="T444" s="4" t="str">
        <f t="shared" si="374"/>
        <v>1+17,9277557509037i</v>
      </c>
      <c r="U444" s="4">
        <f t="shared" si="386"/>
        <v>17.9556238060408</v>
      </c>
      <c r="V444" s="4">
        <f t="shared" si="387"/>
        <v>1.51507463855139</v>
      </c>
      <c r="W444" t="str">
        <f t="shared" si="375"/>
        <v>1-9,40406830683563i</v>
      </c>
      <c r="X444" s="4">
        <f t="shared" si="388"/>
        <v>9.45708732748251</v>
      </c>
      <c r="Y444" s="4">
        <f t="shared" si="389"/>
        <v>-1.46485747648798</v>
      </c>
      <c r="Z444" t="str">
        <f t="shared" si="376"/>
        <v>0,72968888042237+2,95101425163576i</v>
      </c>
      <c r="AA444" s="4">
        <f t="shared" si="390"/>
        <v>3.03988996109554</v>
      </c>
      <c r="AB444" s="4">
        <f t="shared" si="391"/>
        <v>1.32839140810231</v>
      </c>
      <c r="AC444" s="67" t="str">
        <f t="shared" si="392"/>
        <v>-2,1476871428651-0,648289643122991i</v>
      </c>
      <c r="AD444" s="68">
        <f t="shared" si="393"/>
        <v>7.01813082887831</v>
      </c>
      <c r="AE444" s="31">
        <f t="shared" si="394"/>
        <v>-163.203308894327</v>
      </c>
      <c r="AF444" s="32" t="str">
        <f t="shared" si="395"/>
        <v>249,914648392112</v>
      </c>
      <c r="AG444" s="32" t="str">
        <f t="shared" si="377"/>
        <v>1+1200,51935831944i</v>
      </c>
      <c r="AH444" s="32">
        <f t="shared" si="396"/>
        <v>1200.51977480578</v>
      </c>
      <c r="AI444" s="32">
        <f t="shared" si="397"/>
        <v>1.56996335416369</v>
      </c>
      <c r="AJ444" s="32" t="str">
        <f t="shared" si="378"/>
        <v>1+17,9277557509037i</v>
      </c>
      <c r="AK444" s="32">
        <f t="shared" si="398"/>
        <v>17.9556238060408</v>
      </c>
      <c r="AL444" s="32">
        <f t="shared" si="399"/>
        <v>1.51507463855139</v>
      </c>
      <c r="AM444" s="32" t="str">
        <f t="shared" si="379"/>
        <v>1-1,81424281238963i</v>
      </c>
      <c r="AN444" s="32">
        <f t="shared" si="400"/>
        <v>2.07158803392649</v>
      </c>
      <c r="AO444" s="32">
        <f t="shared" si="401"/>
        <v>-1.06703677488549</v>
      </c>
      <c r="AP444" s="30" t="str">
        <f t="shared" si="402"/>
        <v>3,36019500756585-6,97623392064507i</v>
      </c>
      <c r="AQ444" s="32">
        <f t="shared" si="403"/>
        <v>17.77852571725</v>
      </c>
      <c r="AR444" s="31">
        <f t="shared" si="404"/>
        <v>-64.2815955336677</v>
      </c>
      <c r="AS444" t="str">
        <f t="shared" si="380"/>
        <v>-0,000100699300699301</v>
      </c>
      <c r="AT444" t="str">
        <f t="shared" si="381"/>
        <v>0,25691114268036i</v>
      </c>
      <c r="AU444">
        <f t="shared" si="405"/>
        <v>0.25691114268036</v>
      </c>
      <c r="AV444">
        <f t="shared" si="406"/>
        <v>1.5707963267949</v>
      </c>
      <c r="AW444" t="str">
        <f t="shared" si="382"/>
        <v>1+13,1533792835135i</v>
      </c>
      <c r="AX444">
        <f t="shared" si="407"/>
        <v>13.19133755826</v>
      </c>
      <c r="AY444">
        <f t="shared" si="408"/>
        <v>1.49491620677683</v>
      </c>
      <c r="AZ444" t="str">
        <f t="shared" si="383"/>
        <v>1+628,843473405421i</v>
      </c>
      <c r="BA444">
        <f t="shared" si="409"/>
        <v>628.844268515341</v>
      </c>
      <c r="BB444">
        <f t="shared" si="410"/>
        <v>1.56920610728979</v>
      </c>
      <c r="BC444" s="30" t="str">
        <f t="shared" si="411"/>
        <v>-0,00138684527907493+0,018633663556047i</v>
      </c>
      <c r="BD444" s="32">
        <f t="shared" si="412"/>
        <v>-34.5700442596934</v>
      </c>
      <c r="BE444" s="31">
        <f t="shared" si="413"/>
        <v>94.2564977598393</v>
      </c>
      <c r="BF444" s="30" t="str">
        <f t="shared" si="414"/>
        <v>0,015058520871836-0,0391202022127578i</v>
      </c>
      <c r="BG444" s="68">
        <f t="shared" si="415"/>
        <v>-27.5519134308151</v>
      </c>
      <c r="BH444" s="31">
        <f t="shared" si="416"/>
        <v>-68.9468111344877</v>
      </c>
      <c r="BI444" s="30" t="str">
        <f t="shared" si="423"/>
        <v>0,125332725182569+0,0722877003322599i</v>
      </c>
      <c r="BJ444" s="68">
        <f t="shared" si="417"/>
        <v>-16.7915185424435</v>
      </c>
      <c r="BK444" s="31">
        <f t="shared" si="424"/>
        <v>29.9749022261716</v>
      </c>
      <c r="BL444" s="32">
        <f t="shared" si="418"/>
        <v>-27.5519134308151</v>
      </c>
      <c r="BM444" s="31">
        <f t="shared" si="419"/>
        <v>-68.9468111344877</v>
      </c>
      <c r="BO444">
        <f t="shared" si="420"/>
        <v>0</v>
      </c>
      <c r="BP444">
        <f t="shared" si="421"/>
        <v>0</v>
      </c>
    </row>
    <row r="445" spans="14:68">
      <c r="N445" s="7">
        <v>27</v>
      </c>
      <c r="O445" s="18">
        <f t="shared" si="422"/>
        <v>186208.713666287</v>
      </c>
      <c r="P445" s="86" t="str">
        <f t="shared" si="372"/>
        <v>75</v>
      </c>
      <c r="Q445" s="4" t="str">
        <f t="shared" si="373"/>
        <v>1+1910,97362783549i</v>
      </c>
      <c r="R445" s="4">
        <f t="shared" si="384"/>
        <v>1910.9738894822</v>
      </c>
      <c r="S445" s="4">
        <f t="shared" si="385"/>
        <v>1.57027303338354</v>
      </c>
      <c r="T445" s="4" t="str">
        <f t="shared" si="374"/>
        <v>1+18,3453468272207i</v>
      </c>
      <c r="U445" s="4">
        <f t="shared" si="386"/>
        <v>18.3725814792319</v>
      </c>
      <c r="V445" s="4">
        <f t="shared" si="387"/>
        <v>1.51634048388681</v>
      </c>
      <c r="W445" t="str">
        <f t="shared" si="375"/>
        <v>1-9,62311719731443i</v>
      </c>
      <c r="X445" s="4">
        <f t="shared" si="388"/>
        <v>9.67493589607956</v>
      </c>
      <c r="Y445" s="4">
        <f t="shared" si="389"/>
        <v>-1.46725154170597</v>
      </c>
      <c r="Z445" t="str">
        <f t="shared" si="376"/>
        <v>0,716949509834664+3,0197522038195i</v>
      </c>
      <c r="AA445" s="4">
        <f t="shared" si="390"/>
        <v>3.10369456811151</v>
      </c>
      <c r="AB445" s="4">
        <f t="shared" si="391"/>
        <v>1.33769227425869</v>
      </c>
      <c r="AC445" s="67" t="str">
        <f t="shared" si="392"/>
        <v>-2,15850619031813-0,62704070173399i</v>
      </c>
      <c r="AD445" s="68">
        <f t="shared" si="393"/>
        <v>7.0349162471479</v>
      </c>
      <c r="AE445" s="31">
        <f t="shared" si="394"/>
        <v>-163.801549890638</v>
      </c>
      <c r="AF445" s="32" t="str">
        <f t="shared" si="395"/>
        <v>249,914648392112</v>
      </c>
      <c r="AG445" s="32" t="str">
        <f t="shared" si="377"/>
        <v>1+1228,48304646567i</v>
      </c>
      <c r="AH445" s="32">
        <f t="shared" si="396"/>
        <v>1228.48345347163</v>
      </c>
      <c r="AI445" s="32">
        <f t="shared" si="397"/>
        <v>1.56998231492717</v>
      </c>
      <c r="AJ445" s="32" t="str">
        <f t="shared" si="378"/>
        <v>1+18,3453468272207i</v>
      </c>
      <c r="AK445" s="32">
        <f t="shared" si="398"/>
        <v>18.3725814792319</v>
      </c>
      <c r="AL445" s="32">
        <f t="shared" si="399"/>
        <v>1.51634048388681</v>
      </c>
      <c r="AM445" s="32" t="str">
        <f t="shared" si="379"/>
        <v>1-1,85650195621404i</v>
      </c>
      <c r="AN445" s="32">
        <f t="shared" si="400"/>
        <v>2.10869616432206</v>
      </c>
      <c r="AO445" s="32">
        <f t="shared" si="401"/>
        <v>-1.07671086361312</v>
      </c>
      <c r="AP445" s="30" t="str">
        <f t="shared" si="402"/>
        <v>3,36018730814091-7,12927267051514i</v>
      </c>
      <c r="AQ445" s="32">
        <f t="shared" si="403"/>
        <v>17.9321318250853</v>
      </c>
      <c r="AR445" s="31">
        <f t="shared" si="404"/>
        <v>-64.7644387648841</v>
      </c>
      <c r="AS445" t="str">
        <f t="shared" si="380"/>
        <v>-0,000100699300699301</v>
      </c>
      <c r="AT445" t="str">
        <f t="shared" si="381"/>
        <v>0,262895371943653i</v>
      </c>
      <c r="AU445">
        <f t="shared" si="405"/>
        <v>0.262895371943653</v>
      </c>
      <c r="AV445">
        <f t="shared" si="406"/>
        <v>1.5707963267949</v>
      </c>
      <c r="AW445" t="str">
        <f t="shared" si="382"/>
        <v>1+13,4597608456302i</v>
      </c>
      <c r="AX445">
        <f t="shared" si="407"/>
        <v>13.4968574868952</v>
      </c>
      <c r="AY445">
        <f t="shared" si="408"/>
        <v>1.49663705015289</v>
      </c>
      <c r="AZ445" t="str">
        <f t="shared" si="383"/>
        <v>1+643,491119577256i</v>
      </c>
      <c r="BA445">
        <f t="shared" si="409"/>
        <v>643.491896588287</v>
      </c>
      <c r="BB445">
        <f t="shared" si="410"/>
        <v>1.56924230504606</v>
      </c>
      <c r="BC445" s="30" t="str">
        <f t="shared" si="411"/>
        <v>-0,00132476960632898+0,0182141215344407i</v>
      </c>
      <c r="BD445" s="32">
        <f t="shared" si="412"/>
        <v>-34.7689213217667</v>
      </c>
      <c r="BE445" s="31">
        <f t="shared" si="413"/>
        <v>94.1599746758505</v>
      </c>
      <c r="BF445" s="30" t="str">
        <f t="shared" si="414"/>
        <v>0,0142805189444303-0,0384846096197086i</v>
      </c>
      <c r="BG445" s="68">
        <f t="shared" si="415"/>
        <v>-27.7340050746188</v>
      </c>
      <c r="BH445" s="31">
        <f t="shared" si="416"/>
        <v>-69.6415752147875</v>
      </c>
      <c r="BI445" s="30" t="str">
        <f t="shared" si="423"/>
        <v>0,125401964855532+0,070647503758094i</v>
      </c>
      <c r="BJ445" s="68">
        <f t="shared" si="417"/>
        <v>-16.8367894966814</v>
      </c>
      <c r="BK445" s="31">
        <f t="shared" si="424"/>
        <v>29.3955359109663</v>
      </c>
      <c r="BL445" s="32">
        <f t="shared" si="418"/>
        <v>-27.7340050746188</v>
      </c>
      <c r="BM445" s="31">
        <f t="shared" si="419"/>
        <v>-69.6415752147875</v>
      </c>
      <c r="BO445">
        <f t="shared" si="420"/>
        <v>0</v>
      </c>
      <c r="BP445">
        <f t="shared" si="421"/>
        <v>0</v>
      </c>
    </row>
    <row r="446" spans="14:68">
      <c r="N446" s="7">
        <v>28</v>
      </c>
      <c r="O446" s="18">
        <f t="shared" si="422"/>
        <v>190546.071796325</v>
      </c>
      <c r="P446" s="86" t="str">
        <f t="shared" si="372"/>
        <v>75</v>
      </c>
      <c r="Q446" s="4" t="str">
        <f t="shared" si="373"/>
        <v>1+1955,48592179738i</v>
      </c>
      <c r="R446" s="4">
        <f t="shared" si="384"/>
        <v>1955.48617748829</v>
      </c>
      <c r="S446" s="4">
        <f t="shared" si="385"/>
        <v>1.57028494499374</v>
      </c>
      <c r="T446" s="4" t="str">
        <f t="shared" si="374"/>
        <v>1+18,7726648492549i</v>
      </c>
      <c r="U446" s="4">
        <f t="shared" si="386"/>
        <v>18.7992804527846</v>
      </c>
      <c r="V446" s="4">
        <f t="shared" si="387"/>
        <v>1.51757768388682</v>
      </c>
      <c r="W446" t="str">
        <f t="shared" si="375"/>
        <v>1-9,84726839190826i</v>
      </c>
      <c r="X446" s="4">
        <f t="shared" si="388"/>
        <v>9.89791365805317</v>
      </c>
      <c r="Y446" s="4">
        <f t="shared" si="389"/>
        <v>-1.46959226295206</v>
      </c>
      <c r="Z446" t="str">
        <f t="shared" si="376"/>
        <v>0,703609751208075+3,09009126859286i</v>
      </c>
      <c r="AA446" s="4">
        <f t="shared" si="390"/>
        <v>3.16918455288248</v>
      </c>
      <c r="AB446" s="4">
        <f t="shared" si="391"/>
        <v>1.34691471643636</v>
      </c>
      <c r="AC446" s="67" t="str">
        <f t="shared" si="392"/>
        <v>-2,16885482318626-0,605805429539399i</v>
      </c>
      <c r="AD446" s="68">
        <f t="shared" si="393"/>
        <v>7.05087740768439</v>
      </c>
      <c r="AE446" s="31">
        <f t="shared" si="394"/>
        <v>-164.393866499217</v>
      </c>
      <c r="AF446" s="32" t="str">
        <f t="shared" si="395"/>
        <v>249,914648392112</v>
      </c>
      <c r="AG446" s="32" t="str">
        <f t="shared" si="377"/>
        <v>1+1257,09809258403i</v>
      </c>
      <c r="AH446" s="32">
        <f t="shared" si="396"/>
        <v>1257.0984903254</v>
      </c>
      <c r="AI446" s="32">
        <f t="shared" si="397"/>
        <v>1.57000084409154</v>
      </c>
      <c r="AJ446" s="32" t="str">
        <f t="shared" si="378"/>
        <v>1+18,7726648492549i</v>
      </c>
      <c r="AK446" s="32">
        <f t="shared" si="398"/>
        <v>18.7992804527846</v>
      </c>
      <c r="AL446" s="32">
        <f t="shared" si="399"/>
        <v>1.51757768388682</v>
      </c>
      <c r="AM446" s="32" t="str">
        <f t="shared" si="379"/>
        <v>1-1,89974544194933i</v>
      </c>
      <c r="AN446" s="32">
        <f t="shared" si="400"/>
        <v>2.14686579557439</v>
      </c>
      <c r="AO446" s="32">
        <f t="shared" si="401"/>
        <v>-1.08626317329794</v>
      </c>
      <c r="AP446" s="30" t="str">
        <f t="shared" si="402"/>
        <v>3,36017995524674-7,28609145455786i</v>
      </c>
      <c r="AQ446" s="32">
        <f t="shared" si="403"/>
        <v>18.0873706239789</v>
      </c>
      <c r="AR446" s="31">
        <f t="shared" si="404"/>
        <v>-65.2419210989289</v>
      </c>
      <c r="AS446" t="str">
        <f t="shared" si="380"/>
        <v>-0,000100699300699301</v>
      </c>
      <c r="AT446" t="str">
        <f t="shared" si="381"/>
        <v>0,269018991812982i</v>
      </c>
      <c r="AU446">
        <f t="shared" si="405"/>
        <v>0.269018991812982</v>
      </c>
      <c r="AV446">
        <f t="shared" si="406"/>
        <v>1.5707963267949</v>
      </c>
      <c r="AW446" t="str">
        <f t="shared" si="382"/>
        <v>1+13,7732789511083i</v>
      </c>
      <c r="AX446">
        <f t="shared" si="407"/>
        <v>13.809533412286</v>
      </c>
      <c r="AY446">
        <f t="shared" si="408"/>
        <v>1.49831914764599</v>
      </c>
      <c r="AZ446" t="str">
        <f t="shared" si="383"/>
        <v>1+658,479953258302i</v>
      </c>
      <c r="BA446">
        <f t="shared" si="409"/>
        <v>658.480712582423</v>
      </c>
      <c r="BB446">
        <f t="shared" si="410"/>
        <v>1.56927767884474</v>
      </c>
      <c r="BC446" s="30" t="str">
        <f t="shared" si="411"/>
        <v>-0,00126545780797017+0,0178038238051835i</v>
      </c>
      <c r="BD446" s="32">
        <f t="shared" si="412"/>
        <v>-34.9678486530198</v>
      </c>
      <c r="BE446" s="31">
        <f t="shared" si="413"/>
        <v>94.0656243581359</v>
      </c>
      <c r="BF446" s="30" t="str">
        <f t="shared" si="414"/>
        <v>0,0135302473980978-0,0378472879201092i</v>
      </c>
      <c r="BG446" s="68">
        <f t="shared" si="415"/>
        <v>-27.9169712453354</v>
      </c>
      <c r="BH446" s="31">
        <f t="shared" si="416"/>
        <v>-70.3282421410811</v>
      </c>
      <c r="BI446" s="30" t="str">
        <f t="shared" si="423"/>
        <v>0,125468122524849+0,0690442931976773i</v>
      </c>
      <c r="BJ446" s="68">
        <f t="shared" si="417"/>
        <v>-16.8804780290409</v>
      </c>
      <c r="BK446" s="31">
        <f t="shared" si="424"/>
        <v>28.8237032592071</v>
      </c>
      <c r="BL446" s="32">
        <f t="shared" si="418"/>
        <v>-27.9169712453354</v>
      </c>
      <c r="BM446" s="31">
        <f t="shared" si="419"/>
        <v>-70.3282421410811</v>
      </c>
      <c r="BO446">
        <f t="shared" si="420"/>
        <v>0</v>
      </c>
      <c r="BP446">
        <f t="shared" si="421"/>
        <v>0</v>
      </c>
    </row>
    <row r="447" spans="14:68">
      <c r="N447" s="7">
        <v>29</v>
      </c>
      <c r="O447" s="18">
        <f t="shared" si="422"/>
        <v>194984.459975805</v>
      </c>
      <c r="P447" s="86" t="str">
        <f t="shared" si="372"/>
        <v>75</v>
      </c>
      <c r="Q447" s="4" t="str">
        <f t="shared" si="373"/>
        <v>1+2001,03504027892i</v>
      </c>
      <c r="R447" s="4">
        <f t="shared" si="384"/>
        <v>2001.03529014959</v>
      </c>
      <c r="S447" s="4">
        <f t="shared" si="385"/>
        <v>1.57029658546272</v>
      </c>
      <c r="T447" s="4" t="str">
        <f t="shared" si="374"/>
        <v>1+19,2099363866777i</v>
      </c>
      <c r="U447" s="4">
        <f t="shared" si="386"/>
        <v>19.2359469738353</v>
      </c>
      <c r="V447" s="4">
        <f t="shared" si="387"/>
        <v>1.51878687937274</v>
      </c>
      <c r="W447" t="str">
        <f t="shared" si="375"/>
        <v>1-10,0766407385474i</v>
      </c>
      <c r="X447" s="4">
        <f t="shared" si="388"/>
        <v>10.1261388778622</v>
      </c>
      <c r="Y447" s="4">
        <f t="shared" si="389"/>
        <v>-1.47188077865346</v>
      </c>
      <c r="Z447" t="str">
        <f t="shared" si="376"/>
        <v>0,689641309126072+3,162068740659i</v>
      </c>
      <c r="AA447" s="4">
        <f t="shared" si="390"/>
        <v>3.23639982942558</v>
      </c>
      <c r="AB447" s="4">
        <f t="shared" si="391"/>
        <v>1.35606080414593</v>
      </c>
      <c r="AC447" s="67" t="str">
        <f t="shared" si="392"/>
        <v>-2,17874173117261-0,584590734232882i</v>
      </c>
      <c r="AD447" s="68">
        <f t="shared" si="393"/>
        <v>7.06603592902697</v>
      </c>
      <c r="AE447" s="31">
        <f t="shared" si="394"/>
        <v>-164.980406166867</v>
      </c>
      <c r="AF447" s="32" t="str">
        <f t="shared" si="395"/>
        <v>249,914648392112</v>
      </c>
      <c r="AG447" s="32" t="str">
        <f t="shared" si="377"/>
        <v>1+1286,37966875074i</v>
      </c>
      <c r="AH447" s="32">
        <f t="shared" si="396"/>
        <v>1286.38005743842</v>
      </c>
      <c r="AI447" s="32">
        <f t="shared" si="397"/>
        <v>1.57001895148117</v>
      </c>
      <c r="AJ447" s="32" t="str">
        <f t="shared" si="378"/>
        <v>1+19,2099363866777i</v>
      </c>
      <c r="AK447" s="32">
        <f t="shared" si="398"/>
        <v>19.2359469738353</v>
      </c>
      <c r="AL447" s="32">
        <f t="shared" si="399"/>
        <v>1.51878687937274</v>
      </c>
      <c r="AM447" s="32" t="str">
        <f t="shared" si="379"/>
        <v>1-1,94399619786404i</v>
      </c>
      <c r="AN447" s="32">
        <f t="shared" si="400"/>
        <v>2.18612012874632</v>
      </c>
      <c r="AO447" s="32">
        <f t="shared" si="401"/>
        <v>-1.0956917949498</v>
      </c>
      <c r="AP447" s="30" t="str">
        <f t="shared" si="402"/>
        <v>3,3601729332869-7,44677342020589i</v>
      </c>
      <c r="AQ447" s="32">
        <f t="shared" si="403"/>
        <v>18.2442001606276</v>
      </c>
      <c r="AR447" s="31">
        <f t="shared" si="404"/>
        <v>-65.7138970052606</v>
      </c>
      <c r="AS447" t="str">
        <f t="shared" si="380"/>
        <v>-0,000100699300699301</v>
      </c>
      <c r="AT447" t="str">
        <f t="shared" si="381"/>
        <v>0,275285249112658i</v>
      </c>
      <c r="AU447">
        <f t="shared" si="405"/>
        <v>0.275285249112658</v>
      </c>
      <c r="AV447">
        <f t="shared" si="406"/>
        <v>1.5707963267949</v>
      </c>
      <c r="AW447" t="str">
        <f t="shared" si="382"/>
        <v>1+14,094099831397i</v>
      </c>
      <c r="AX447">
        <f t="shared" si="407"/>
        <v>14.1295311336712</v>
      </c>
      <c r="AY447">
        <f t="shared" si="408"/>
        <v>1.49996335302983</v>
      </c>
      <c r="AZ447" t="str">
        <f t="shared" si="383"/>
        <v>1+673,817921726575i</v>
      </c>
      <c r="BA447">
        <f t="shared" si="409"/>
        <v>673.818663766388</v>
      </c>
      <c r="BB447">
        <f t="shared" si="410"/>
        <v>1.56931224744112</v>
      </c>
      <c r="BC447" s="30" t="str">
        <f t="shared" si="411"/>
        <v>-0,00120878810775494+0,0174025801079541i</v>
      </c>
      <c r="BD447" s="32">
        <f t="shared" si="412"/>
        <v>-35.1668240147205</v>
      </c>
      <c r="BE447" s="31">
        <f t="shared" si="413"/>
        <v>93.9733989636653</v>
      </c>
      <c r="BF447" s="30" t="str">
        <f t="shared" si="414"/>
        <v>0,0128070241773663-0,0372090811838295i</v>
      </c>
      <c r="BG447" s="68">
        <f t="shared" si="415"/>
        <v>-28.1007880856936</v>
      </c>
      <c r="BH447" s="31">
        <f t="shared" si="416"/>
        <v>-71.0070072032013</v>
      </c>
      <c r="BI447" s="30" t="str">
        <f t="shared" si="423"/>
        <v>0,125531333909159+0,0674772497995949i</v>
      </c>
      <c r="BJ447" s="68">
        <f t="shared" si="417"/>
        <v>-16.922623854093</v>
      </c>
      <c r="BK447" s="31">
        <f t="shared" si="424"/>
        <v>28.2595019584047</v>
      </c>
      <c r="BL447" s="32">
        <f t="shared" si="418"/>
        <v>-28.1007880856936</v>
      </c>
      <c r="BM447" s="31">
        <f t="shared" si="419"/>
        <v>-71.0070072032013</v>
      </c>
      <c r="BO447">
        <f t="shared" si="420"/>
        <v>0</v>
      </c>
      <c r="BP447">
        <f t="shared" si="421"/>
        <v>0</v>
      </c>
    </row>
    <row r="448" spans="14:68">
      <c r="N448" s="7">
        <v>30</v>
      </c>
      <c r="O448" s="18">
        <f t="shared" si="422"/>
        <v>199526.231496888</v>
      </c>
      <c r="P448" s="86" t="str">
        <f t="shared" si="372"/>
        <v>75</v>
      </c>
      <c r="Q448" s="4" t="str">
        <f t="shared" si="373"/>
        <v>1+2047,64513402566i</v>
      </c>
      <c r="R448" s="4">
        <f t="shared" si="384"/>
        <v>2047.64537820858</v>
      </c>
      <c r="S448" s="4">
        <f t="shared" si="385"/>
        <v>1.57030796096242</v>
      </c>
      <c r="T448" s="4" t="str">
        <f t="shared" si="374"/>
        <v>1+19,6573932866464i</v>
      </c>
      <c r="U448" s="4">
        <f t="shared" si="386"/>
        <v>19.682812574068</v>
      </c>
      <c r="V448" s="4">
        <f t="shared" si="387"/>
        <v>1.51996869732376</v>
      </c>
      <c r="W448" t="str">
        <f t="shared" si="375"/>
        <v>1-10,3113558534864i</v>
      </c>
      <c r="X448" s="4">
        <f t="shared" si="388"/>
        <v>10.3597325996972</v>
      </c>
      <c r="Y448" s="4">
        <f t="shared" si="389"/>
        <v>-1.47411820627369</v>
      </c>
      <c r="Z448" t="str">
        <f t="shared" si="376"/>
        <v>0,675014554650205+3,23572278342639i</v>
      </c>
      <c r="AA448" s="4">
        <f t="shared" si="390"/>
        <v>3.30538145758916</v>
      </c>
      <c r="AB448" s="4">
        <f t="shared" si="391"/>
        <v>1.36513270676535</v>
      </c>
      <c r="AC448" s="67" t="str">
        <f t="shared" si="392"/>
        <v>-2,18817558631585-0,563402812554575i</v>
      </c>
      <c r="AD448" s="68">
        <f t="shared" si="393"/>
        <v>7.08041268455753</v>
      </c>
      <c r="AE448" s="31">
        <f t="shared" si="394"/>
        <v>-165.561321646094</v>
      </c>
      <c r="AF448" s="32" t="str">
        <f t="shared" si="395"/>
        <v>249,914648392112</v>
      </c>
      <c r="AG448" s="32" t="str">
        <f t="shared" si="377"/>
        <v>1+1316,34330044507i</v>
      </c>
      <c r="AH448" s="32">
        <f t="shared" si="396"/>
        <v>1316.34368028514</v>
      </c>
      <c r="AI448" s="32">
        <f t="shared" si="397"/>
        <v>1.57003664669679</v>
      </c>
      <c r="AJ448" s="32" t="str">
        <f t="shared" si="378"/>
        <v>1+19,6573932866464i</v>
      </c>
      <c r="AK448" s="32">
        <f t="shared" si="398"/>
        <v>19.682812574068</v>
      </c>
      <c r="AL448" s="32">
        <f t="shared" si="399"/>
        <v>1.51996869732376</v>
      </c>
      <c r="AM448" s="32" t="str">
        <f t="shared" si="379"/>
        <v>1-1,98927768629471i</v>
      </c>
      <c r="AN448" s="32">
        <f t="shared" si="400"/>
        <v>2.22648281223773</v>
      </c>
      <c r="AO448" s="32">
        <f t="shared" si="401"/>
        <v>-1.104995021325</v>
      </c>
      <c r="AP448" s="30" t="str">
        <f t="shared" si="402"/>
        <v>3,36016622736696-7,61140376319963i</v>
      </c>
      <c r="AQ448" s="32">
        <f t="shared" si="403"/>
        <v>18.402578470966</v>
      </c>
      <c r="AR448" s="31">
        <f t="shared" si="404"/>
        <v>-66.1802332928395</v>
      </c>
      <c r="AS448" t="str">
        <f t="shared" si="380"/>
        <v>-0,000100699300699301</v>
      </c>
      <c r="AT448" t="str">
        <f t="shared" si="381"/>
        <v>0,281697466295244i</v>
      </c>
      <c r="AU448">
        <f t="shared" si="405"/>
        <v>0.281697466295244</v>
      </c>
      <c r="AV448">
        <f t="shared" si="406"/>
        <v>1.5707963267949</v>
      </c>
      <c r="AW448" t="str">
        <f t="shared" si="382"/>
        <v>1+14,4223935899739i</v>
      </c>
      <c r="AX448">
        <f t="shared" si="407"/>
        <v>14.4570203314556</v>
      </c>
      <c r="AY448">
        <f t="shared" si="408"/>
        <v>1.50157050250424</v>
      </c>
      <c r="AZ448" t="str">
        <f t="shared" si="383"/>
        <v>1+689,513157375987i</v>
      </c>
      <c r="BA448">
        <f t="shared" si="409"/>
        <v>689.51388252493</v>
      </c>
      <c r="BB448">
        <f t="shared" si="410"/>
        <v>1.56934602916362</v>
      </c>
      <c r="BC448" s="30" t="str">
        <f t="shared" si="411"/>
        <v>-0,00115464398246754+0,0170102031927088i</v>
      </c>
      <c r="BD448" s="32">
        <f t="shared" si="412"/>
        <v>-35.3658452668221</v>
      </c>
      <c r="BE448" s="31">
        <f t="shared" si="413"/>
        <v>93.8832516318587</v>
      </c>
      <c r="BF448" s="30" t="str">
        <f t="shared" si="414"/>
        <v>0,0121101600942189-0,0365707816773359i</v>
      </c>
      <c r="BG448" s="68">
        <f t="shared" si="415"/>
        <v>-28.2854325822646</v>
      </c>
      <c r="BH448" s="31">
        <f t="shared" si="416"/>
        <v>-71.6780700142356</v>
      </c>
      <c r="BI448" s="30" t="str">
        <f t="shared" si="423"/>
        <v>0,125591728879254+0,065945571842099i</v>
      </c>
      <c r="BJ448" s="68">
        <f t="shared" si="417"/>
        <v>-16.9632667958561</v>
      </c>
      <c r="BK448" s="31">
        <f t="shared" si="424"/>
        <v>27.7030183390192</v>
      </c>
      <c r="BL448" s="32">
        <f t="shared" si="418"/>
        <v>-28.2854325822646</v>
      </c>
      <c r="BM448" s="31">
        <f t="shared" si="419"/>
        <v>-71.6780700142356</v>
      </c>
      <c r="BO448">
        <f t="shared" si="420"/>
        <v>0</v>
      </c>
      <c r="BP448">
        <f t="shared" si="421"/>
        <v>0</v>
      </c>
    </row>
    <row r="449" spans="14:68">
      <c r="N449" s="7">
        <v>31</v>
      </c>
      <c r="O449" s="18">
        <f t="shared" si="422"/>
        <v>204173.794466953</v>
      </c>
      <c r="P449" s="86" t="str">
        <f t="shared" si="372"/>
        <v>75</v>
      </c>
      <c r="Q449" s="4" t="str">
        <f t="shared" si="373"/>
        <v>1+2095,34091632624i</v>
      </c>
      <c r="R449" s="4">
        <f t="shared" si="384"/>
        <v>2095.34115495088</v>
      </c>
      <c r="S449" s="4">
        <f t="shared" si="385"/>
        <v>1.57031907752425</v>
      </c>
      <c r="T449" s="4" t="str">
        <f t="shared" si="374"/>
        <v>1+20,1152727967319i</v>
      </c>
      <c r="U449" s="4">
        <f t="shared" si="386"/>
        <v>20.1401141925001</v>
      </c>
      <c r="V449" s="4">
        <f t="shared" si="387"/>
        <v>1.52112375114282</v>
      </c>
      <c r="W449" t="str">
        <f t="shared" si="375"/>
        <v>1-10,5515381857857i</v>
      </c>
      <c r="X449" s="4">
        <f t="shared" si="388"/>
        <v>10.5988187118232</v>
      </c>
      <c r="Y449" s="4">
        <f t="shared" si="389"/>
        <v>-1.47630564247129</v>
      </c>
      <c r="Z449" t="str">
        <f t="shared" si="376"/>
        <v>0,659698462473196+3,31109244924339i</v>
      </c>
      <c r="AA449" s="4">
        <f t="shared" si="390"/>
        <v>3.37617168829224</v>
      </c>
      <c r="AB449" s="4">
        <f t="shared" si="391"/>
        <v>1.37413268776996</v>
      </c>
      <c r="AC449" s="67" t="str">
        <f t="shared" si="392"/>
        <v>-2,19716500387363-0,542247173388694i</v>
      </c>
      <c r="AD449" s="68">
        <f t="shared" si="393"/>
        <v>7.09402778054333</v>
      </c>
      <c r="AE449" s="31">
        <f t="shared" si="394"/>
        <v>-166.136770658565</v>
      </c>
      <c r="AF449" s="32" t="str">
        <f t="shared" si="395"/>
        <v>249,914648392112</v>
      </c>
      <c r="AG449" s="32" t="str">
        <f t="shared" si="377"/>
        <v>1+1347,00487478115i</v>
      </c>
      <c r="AH449" s="32">
        <f t="shared" si="396"/>
        <v>1347.005245975</v>
      </c>
      <c r="AI449" s="32">
        <f t="shared" si="397"/>
        <v>1.57005393912058</v>
      </c>
      <c r="AJ449" s="32" t="str">
        <f t="shared" si="378"/>
        <v>1+20,1152727967319i</v>
      </c>
      <c r="AK449" s="32">
        <f t="shared" si="398"/>
        <v>20.1401141925001</v>
      </c>
      <c r="AL449" s="32">
        <f t="shared" si="399"/>
        <v>1.52112375114282</v>
      </c>
      <c r="AM449" s="32" t="str">
        <f t="shared" si="379"/>
        <v>1-2,03561391608584i</v>
      </c>
      <c r="AN449" s="32">
        <f t="shared" si="400"/>
        <v>2.26797795742426</v>
      </c>
      <c r="AO449" s="32">
        <f t="shared" si="401"/>
        <v>-1.1141713426499</v>
      </c>
      <c r="AP449" s="30" t="str">
        <f t="shared" si="402"/>
        <v>3,36015982326279-7,78006977275877i</v>
      </c>
      <c r="AQ449" s="32">
        <f t="shared" si="403"/>
        <v>18.5624636653403</v>
      </c>
      <c r="AR449" s="31">
        <f t="shared" si="404"/>
        <v>-66.6408088501706</v>
      </c>
      <c r="AS449" t="str">
        <f t="shared" si="380"/>
        <v>-0,000100699300699301</v>
      </c>
      <c r="AT449" t="str">
        <f t="shared" si="381"/>
        <v>0,288259043203168i</v>
      </c>
      <c r="AU449">
        <f t="shared" si="405"/>
        <v>0.288259043203168</v>
      </c>
      <c r="AV449">
        <f t="shared" si="406"/>
        <v>1.5707963267949</v>
      </c>
      <c r="AW449" t="str">
        <f t="shared" si="382"/>
        <v>1+14,7583342925352i</v>
      </c>
      <c r="AX449">
        <f t="shared" si="407"/>
        <v>14.7921746572375</v>
      </c>
      <c r="AY449">
        <f t="shared" si="408"/>
        <v>1.50314141497324</v>
      </c>
      <c r="AZ449" t="str">
        <f t="shared" si="383"/>
        <v>1+705,573982028222i</v>
      </c>
      <c r="BA449">
        <f t="shared" si="409"/>
        <v>705.574690670776</v>
      </c>
      <c r="BB449">
        <f t="shared" si="410"/>
        <v>1.56937904192342</v>
      </c>
      <c r="BC449" s="30" t="str">
        <f t="shared" si="411"/>
        <v>-0,00110291394520648+0,0166265088365731i</v>
      </c>
      <c r="BD449" s="32">
        <f t="shared" si="412"/>
        <v>-35.5649103637017</v>
      </c>
      <c r="BE449" s="31">
        <f t="shared" si="413"/>
        <v>93.7951364692072</v>
      </c>
      <c r="BF449" s="30" t="str">
        <f t="shared" si="414"/>
        <v>0,0114389613426458-0,0359331313830349i</v>
      </c>
      <c r="BG449" s="68">
        <f t="shared" si="415"/>
        <v>-28.4708825831584</v>
      </c>
      <c r="BH449" s="31">
        <f t="shared" si="416"/>
        <v>-72.3416341893582</v>
      </c>
      <c r="BI449" s="30" t="str">
        <f t="shared" si="423"/>
        <v>0,12564943169873+0,0644484744408317i</v>
      </c>
      <c r="BJ449" s="68">
        <f t="shared" si="417"/>
        <v>-17.0024466983614</v>
      </c>
      <c r="BK449" s="31">
        <f t="shared" si="424"/>
        <v>27.1543276190366</v>
      </c>
      <c r="BL449" s="32">
        <f t="shared" si="418"/>
        <v>-28.4708825831584</v>
      </c>
      <c r="BM449" s="31">
        <f t="shared" si="419"/>
        <v>-72.3416341893582</v>
      </c>
      <c r="BO449">
        <f t="shared" si="420"/>
        <v>0</v>
      </c>
      <c r="BP449">
        <f t="shared" si="421"/>
        <v>0</v>
      </c>
    </row>
    <row r="450" spans="14:68">
      <c r="N450" s="7">
        <v>32</v>
      </c>
      <c r="O450" s="18">
        <f t="shared" si="422"/>
        <v>208929.613085404</v>
      </c>
      <c r="P450" s="86" t="str">
        <f t="shared" si="372"/>
        <v>75</v>
      </c>
      <c r="Q450" s="4" t="str">
        <f t="shared" si="373"/>
        <v>1+2144,14767611578i</v>
      </c>
      <c r="R450" s="4">
        <f t="shared" si="384"/>
        <v>2144.14790930866</v>
      </c>
      <c r="S450" s="4">
        <f t="shared" si="385"/>
        <v>1.57032994104235</v>
      </c>
      <c r="T450" s="4" t="str">
        <f t="shared" si="374"/>
        <v>1+20,5838176907116i</v>
      </c>
      <c r="U450" s="4">
        <f t="shared" si="386"/>
        <v>20.6080943011345</v>
      </c>
      <c r="V450" s="4">
        <f t="shared" si="387"/>
        <v>1.52225264091962</v>
      </c>
      <c r="W450" t="str">
        <f t="shared" si="375"/>
        <v>1-10,7973150832973i</v>
      </c>
      <c r="X450" s="4">
        <f t="shared" si="388"/>
        <v>10.8435240124232</v>
      </c>
      <c r="Y450" s="4">
        <f t="shared" si="389"/>
        <v>-1.47844416327487</v>
      </c>
      <c r="Z450" t="str">
        <f t="shared" si="376"/>
        <v>0,643660545110065+3,3882177001045i</v>
      </c>
      <c r="AA450" s="4">
        <f t="shared" si="390"/>
        <v>3.44881401073366</v>
      </c>
      <c r="AB450" s="4">
        <f t="shared" si="391"/>
        <v>1.38306309913348</v>
      </c>
      <c r="AC450" s="67" t="str">
        <f t="shared" si="392"/>
        <v>-2,20571850580122-0,52112866213739i</v>
      </c>
      <c r="AD450" s="68">
        <f t="shared" si="393"/>
        <v>7.10690053681536</v>
      </c>
      <c r="AE450" s="31">
        <f t="shared" si="394"/>
        <v>-166.706915569449</v>
      </c>
      <c r="AF450" s="32" t="str">
        <f t="shared" si="395"/>
        <v>249,914648392112</v>
      </c>
      <c r="AG450" s="32" t="str">
        <f t="shared" si="377"/>
        <v>1+1378,38064893158i</v>
      </c>
      <c r="AH450" s="32">
        <f t="shared" si="396"/>
        <v>1378.38101167603</v>
      </c>
      <c r="AI450" s="32">
        <f t="shared" si="397"/>
        <v>1.57007083792117</v>
      </c>
      <c r="AJ450" s="32" t="str">
        <f t="shared" si="378"/>
        <v>1+20,5838176907116i</v>
      </c>
      <c r="AK450" s="32">
        <f t="shared" si="398"/>
        <v>20.6080943011345</v>
      </c>
      <c r="AL450" s="32">
        <f t="shared" si="399"/>
        <v>1.52225264091962</v>
      </c>
      <c r="AM450" s="32" t="str">
        <f t="shared" si="379"/>
        <v>1-2,08302945531984i</v>
      </c>
      <c r="AN450" s="32">
        <f t="shared" si="400"/>
        <v>2.31063015468293</v>
      </c>
      <c r="AO450" s="32">
        <f t="shared" si="401"/>
        <v>-1.12321944185621</v>
      </c>
      <c r="AP450" s="30" t="str">
        <f t="shared" si="402"/>
        <v>3,36015370739046-7,95286087786476i</v>
      </c>
      <c r="AQ450" s="32">
        <f t="shared" si="403"/>
        <v>18.723814009147</v>
      </c>
      <c r="AR450" s="31">
        <f t="shared" si="404"/>
        <v>-67.0955143575152</v>
      </c>
      <c r="AS450" t="str">
        <f t="shared" si="380"/>
        <v>-0,000100699300699301</v>
      </c>
      <c r="AT450" t="str">
        <f t="shared" si="381"/>
        <v>0,294973458871357i</v>
      </c>
      <c r="AU450">
        <f t="shared" si="405"/>
        <v>0.294973458871357</v>
      </c>
      <c r="AV450">
        <f t="shared" si="406"/>
        <v>1.5707963267949</v>
      </c>
      <c r="AW450" t="str">
        <f t="shared" si="382"/>
        <v>1+15,1021000592881i</v>
      </c>
      <c r="AX450">
        <f t="shared" si="407"/>
        <v>15.1351718259407</v>
      </c>
      <c r="AY450">
        <f t="shared" si="408"/>
        <v>1.50467689232484</v>
      </c>
      <c r="AZ450" t="str">
        <f t="shared" si="383"/>
        <v>1+722,008911345111i</v>
      </c>
      <c r="BA450">
        <f t="shared" si="409"/>
        <v>722.009603857007</v>
      </c>
      <c r="BB450">
        <f t="shared" si="410"/>
        <v>1.56941130322406</v>
      </c>
      <c r="BC450" s="30" t="str">
        <f t="shared" si="411"/>
        <v>-0,00105349133673266+0,0162513158549408i</v>
      </c>
      <c r="BD450" s="32">
        <f t="shared" si="412"/>
        <v>-35.7640173500757</v>
      </c>
      <c r="BE450" s="31">
        <f t="shared" si="413"/>
        <v>93.7090085337906</v>
      </c>
      <c r="BF450" s="30" t="str">
        <f t="shared" si="414"/>
        <v>0,0107927318265899-0,0352968235939789i</v>
      </c>
      <c r="BG450" s="68">
        <f t="shared" si="415"/>
        <v>-28.6571168132604</v>
      </c>
      <c r="BH450" s="31">
        <f t="shared" si="416"/>
        <v>-72.9979070356584</v>
      </c>
      <c r="BI450" s="30" t="str">
        <f t="shared" si="423"/>
        <v>0,125704561255756+0,0629851892570233i</v>
      </c>
      <c r="BJ450" s="68">
        <f t="shared" si="417"/>
        <v>-17.0402033409288</v>
      </c>
      <c r="BK450" s="31">
        <f t="shared" si="424"/>
        <v>26.6134941762754</v>
      </c>
      <c r="BL450" s="32">
        <f t="shared" si="418"/>
        <v>-28.6571168132604</v>
      </c>
      <c r="BM450" s="31">
        <f t="shared" si="419"/>
        <v>-72.9979070356584</v>
      </c>
      <c r="BO450">
        <f t="shared" si="420"/>
        <v>0</v>
      </c>
      <c r="BP450">
        <f t="shared" si="421"/>
        <v>0</v>
      </c>
    </row>
    <row r="451" spans="14:68">
      <c r="N451" s="7">
        <v>33</v>
      </c>
      <c r="O451" s="18">
        <f t="shared" si="422"/>
        <v>213796.208950223</v>
      </c>
      <c r="P451" s="86" t="str">
        <f t="shared" si="372"/>
        <v>75</v>
      </c>
      <c r="Q451" s="4" t="str">
        <f t="shared" si="373"/>
        <v>1+2194,09129138434i</v>
      </c>
      <c r="R451" s="4">
        <f t="shared" si="384"/>
        <v>2194.0915192691</v>
      </c>
      <c r="S451" s="4">
        <f t="shared" si="385"/>
        <v>1.5703405572767</v>
      </c>
      <c r="T451" s="4" t="str">
        <f t="shared" si="374"/>
        <v>1+21,0632763972897i</v>
      </c>
      <c r="U451" s="4">
        <f t="shared" si="386"/>
        <v>21.0870010335425</v>
      </c>
      <c r="V451" s="4">
        <f t="shared" si="387"/>
        <v>1.52335595369073</v>
      </c>
      <c r="W451" t="str">
        <f t="shared" si="375"/>
        <v>1-11,0488168601854i</v>
      </c>
      <c r="X451" s="4">
        <f t="shared" si="388"/>
        <v>11.0939782769716</v>
      </c>
      <c r="Y451" s="4">
        <f t="shared" si="389"/>
        <v>-1.48053482427302</v>
      </c>
      <c r="Z451" t="str">
        <f t="shared" si="376"/>
        <v>0,626866783987854+3,46713942883854i</v>
      </c>
      <c r="AA451" s="4">
        <f t="shared" si="390"/>
        <v>3.52335320169212</v>
      </c>
      <c r="AB451" s="4">
        <f t="shared" si="391"/>
        <v>1.39192637590649</v>
      </c>
      <c r="AC451" s="67" t="str">
        <f t="shared" si="392"/>
        <v>-2,21384448676198-0,50005148615539i</v>
      </c>
      <c r="AD451" s="68">
        <f t="shared" si="393"/>
        <v>7.11904946986113</v>
      </c>
      <c r="AE451" s="31">
        <f t="shared" si="394"/>
        <v>-167.27192307294</v>
      </c>
      <c r="AF451" s="32" t="str">
        <f t="shared" si="395"/>
        <v>249,914648392112</v>
      </c>
      <c r="AG451" s="32" t="str">
        <f t="shared" si="377"/>
        <v>1+1410,48725874708i</v>
      </c>
      <c r="AH451" s="32">
        <f t="shared" si="396"/>
        <v>1410.48761323446</v>
      </c>
      <c r="AI451" s="32">
        <f t="shared" si="397"/>
        <v>1.57008735205851</v>
      </c>
      <c r="AJ451" s="32" t="str">
        <f t="shared" si="378"/>
        <v>1+21,0632763972897i</v>
      </c>
      <c r="AK451" s="32">
        <f t="shared" si="398"/>
        <v>21.0870010335425</v>
      </c>
      <c r="AL451" s="32">
        <f t="shared" si="399"/>
        <v>1.52335595369073</v>
      </c>
      <c r="AM451" s="32" t="str">
        <f t="shared" si="379"/>
        <v>1-2,13154944434318i</v>
      </c>
      <c r="AN451" s="32">
        <f t="shared" si="400"/>
        <v>2.3544644897895</v>
      </c>
      <c r="AO451" s="32">
        <f t="shared" si="401"/>
        <v>-1.13213818938281</v>
      </c>
      <c r="AP451" s="30" t="str">
        <f t="shared" si="402"/>
        <v>3,36014786677745-8,12986869467718i</v>
      </c>
      <c r="AQ451" s="32">
        <f t="shared" si="403"/>
        <v>18.8865879987827</v>
      </c>
      <c r="AR451" s="31">
        <f t="shared" si="404"/>
        <v>-67.5442519744358</v>
      </c>
      <c r="AS451" t="str">
        <f t="shared" si="380"/>
        <v>-0,000100699300699301</v>
      </c>
      <c r="AT451" t="str">
        <f t="shared" si="381"/>
        <v>0,301844273371874i</v>
      </c>
      <c r="AU451">
        <f t="shared" si="405"/>
        <v>0.301844273371874</v>
      </c>
      <c r="AV451">
        <f t="shared" si="406"/>
        <v>1.5707963267949</v>
      </c>
      <c r="AW451" t="str">
        <f t="shared" si="382"/>
        <v>1+15,4538731593922i</v>
      </c>
      <c r="AX451">
        <f t="shared" si="407"/>
        <v>15.4861937100949</v>
      </c>
      <c r="AY451">
        <f t="shared" si="408"/>
        <v>1.50617771971171</v>
      </c>
      <c r="AZ451" t="str">
        <f t="shared" si="383"/>
        <v>1+738,826659343706i</v>
      </c>
      <c r="BA451">
        <f t="shared" si="409"/>
        <v>738.827336092121</v>
      </c>
      <c r="BB451">
        <f t="shared" si="410"/>
        <v>1.56944283017062</v>
      </c>
      <c r="BC451" s="30" t="str">
        <f t="shared" si="411"/>
        <v>-0,00100627412465991+0,0158844461072397i</v>
      </c>
      <c r="BD451" s="32">
        <f t="shared" si="412"/>
        <v>-35.9631643570844</v>
      </c>
      <c r="BE451" s="31">
        <f t="shared" si="413"/>
        <v>93.6248238197242</v>
      </c>
      <c r="BF451" s="30" t="str">
        <f t="shared" si="414"/>
        <v>0,01017077530573-0,0346625045682645i</v>
      </c>
      <c r="BG451" s="68">
        <f t="shared" si="415"/>
        <v>-28.8441148872232</v>
      </c>
      <c r="BH451" s="31">
        <f t="shared" si="416"/>
        <v>-73.647099253216</v>
      </c>
      <c r="BI451" s="30" t="str">
        <f t="shared" si="423"/>
        <v>0,125757231286166+0,0615549642065191i</v>
      </c>
      <c r="BJ451" s="68">
        <f t="shared" si="417"/>
        <v>-17.0765763583016</v>
      </c>
      <c r="BK451" s="31">
        <f t="shared" si="424"/>
        <v>26.0805718452883</v>
      </c>
      <c r="BL451" s="32">
        <f t="shared" si="418"/>
        <v>-28.8441148872232</v>
      </c>
      <c r="BM451" s="31">
        <f t="shared" si="419"/>
        <v>-73.647099253216</v>
      </c>
      <c r="BO451">
        <f t="shared" si="420"/>
        <v>0</v>
      </c>
      <c r="BP451">
        <f t="shared" si="421"/>
        <v>0</v>
      </c>
    </row>
    <row r="452" spans="14:68">
      <c r="N452" s="7">
        <v>34</v>
      </c>
      <c r="O452" s="18">
        <f t="shared" si="422"/>
        <v>218776.162394955</v>
      </c>
      <c r="P452" s="86" t="str">
        <f t="shared" si="372"/>
        <v>75</v>
      </c>
      <c r="Q452" s="4" t="str">
        <f t="shared" si="373"/>
        <v>1+2245,19824289783i</v>
      </c>
      <c r="R452" s="4">
        <f t="shared" si="384"/>
        <v>2245.1984655953</v>
      </c>
      <c r="S452" s="4">
        <f t="shared" si="385"/>
        <v>1.57035093185615</v>
      </c>
      <c r="T452" s="4" t="str">
        <f t="shared" si="374"/>
        <v>1+21,5539031318192i</v>
      </c>
      <c r="U452" s="4">
        <f t="shared" si="386"/>
        <v>21.5770883164491</v>
      </c>
      <c r="V452" s="4">
        <f t="shared" si="387"/>
        <v>1.5244342636966</v>
      </c>
      <c r="W452" t="str">
        <f t="shared" si="375"/>
        <v>1-11,3061768660212i</v>
      </c>
      <c r="X452" s="4">
        <f t="shared" si="388"/>
        <v>11.3503143271785</v>
      </c>
      <c r="Y452" s="4">
        <f t="shared" si="389"/>
        <v>-1.48257866081753</v>
      </c>
      <c r="Z452" t="str">
        <f t="shared" si="376"/>
        <v>0,609281557287639+3,54789948079077i</v>
      </c>
      <c r="AA452" s="4">
        <f t="shared" si="390"/>
        <v>3.59983537704799</v>
      </c>
      <c r="AB452" s="4">
        <f t="shared" si="391"/>
        <v>1.40072503097684</v>
      </c>
      <c r="AC452" s="67" t="str">
        <f t="shared" si="392"/>
        <v>-2,22155118259559-0,479019241048066i</v>
      </c>
      <c r="AD452" s="68">
        <f t="shared" si="393"/>
        <v>7.13049227812175</v>
      </c>
      <c r="AE452" s="31">
        <f t="shared" si="394"/>
        <v>-167.831963889151</v>
      </c>
      <c r="AF452" s="32" t="str">
        <f t="shared" si="395"/>
        <v>249,914648392112</v>
      </c>
      <c r="AG452" s="32" t="str">
        <f t="shared" si="377"/>
        <v>1+1443,34172757718i</v>
      </c>
      <c r="AH452" s="32">
        <f t="shared" si="396"/>
        <v>1443.34207399545</v>
      </c>
      <c r="AI452" s="32">
        <f t="shared" si="397"/>
        <v>1.57010349028855</v>
      </c>
      <c r="AJ452" s="32" t="str">
        <f t="shared" si="378"/>
        <v>1+21,5539031318192i</v>
      </c>
      <c r="AK452" s="32">
        <f t="shared" si="398"/>
        <v>21.5770883164491</v>
      </c>
      <c r="AL452" s="32">
        <f t="shared" si="399"/>
        <v>1.5244342636966</v>
      </c>
      <c r="AM452" s="32" t="str">
        <f t="shared" si="379"/>
        <v>1-2,18119960909631i</v>
      </c>
      <c r="AN452" s="32">
        <f t="shared" si="400"/>
        <v>2.3995065606749</v>
      </c>
      <c r="AO452" s="32">
        <f t="shared" si="401"/>
        <v>-1.14092663759854</v>
      </c>
      <c r="AP452" s="30" t="str">
        <f t="shared" si="402"/>
        <v>3,36014228903508-8,31118707511025i</v>
      </c>
      <c r="AQ452" s="32">
        <f t="shared" si="403"/>
        <v>19.0507444328024</v>
      </c>
      <c r="AR452" s="31">
        <f t="shared" si="404"/>
        <v>-67.9869350057936</v>
      </c>
      <c r="AS452" t="str">
        <f t="shared" si="380"/>
        <v>-0,000100699300699301</v>
      </c>
      <c r="AT452" t="str">
        <f t="shared" si="381"/>
        <v>0,308875129701515i</v>
      </c>
      <c r="AU452">
        <f t="shared" si="405"/>
        <v>0.308875129701515</v>
      </c>
      <c r="AV452">
        <f t="shared" si="406"/>
        <v>1.5707963267949</v>
      </c>
      <c r="AW452" t="str">
        <f t="shared" si="382"/>
        <v>1+15,8138401076017i</v>
      </c>
      <c r="AX452">
        <f t="shared" si="407"/>
        <v>15.8454264363188</v>
      </c>
      <c r="AY452">
        <f t="shared" si="408"/>
        <v>1.50764466583246</v>
      </c>
      <c r="AZ452" t="str">
        <f t="shared" si="383"/>
        <v>1+756,036143016615i</v>
      </c>
      <c r="BA452">
        <f t="shared" si="409"/>
        <v>756.03680436037</v>
      </c>
      <c r="BB452">
        <f t="shared" si="410"/>
        <v>1.56947363947886</v>
      </c>
      <c r="BC452" s="30" t="str">
        <f t="shared" si="411"/>
        <v>-0,000961164710266559+0,0155257244977997i</v>
      </c>
      <c r="BD452" s="32">
        <f t="shared" si="412"/>
        <v>-36.1623495985397</v>
      </c>
      <c r="BE452" s="31">
        <f t="shared" si="413"/>
        <v>93.5425392415642</v>
      </c>
      <c r="BF452" s="30" t="str">
        <f t="shared" si="414"/>
        <v>0,0095723973644192-0,0340307752287062i</v>
      </c>
      <c r="BG452" s="68">
        <f t="shared" si="415"/>
        <v>-29.031857320418</v>
      </c>
      <c r="BH452" s="31">
        <f t="shared" si="416"/>
        <v>-74.2894246475871</v>
      </c>
      <c r="BI452" s="30" t="str">
        <f t="shared" si="423"/>
        <v>0,125807550588141+0,0601570631699842i</v>
      </c>
      <c r="BJ452" s="68">
        <f t="shared" si="417"/>
        <v>-17.1116051657373</v>
      </c>
      <c r="BK452" s="31">
        <f t="shared" si="424"/>
        <v>25.5556042357705</v>
      </c>
      <c r="BL452" s="32">
        <f t="shared" si="418"/>
        <v>-29.031857320418</v>
      </c>
      <c r="BM452" s="31">
        <f t="shared" si="419"/>
        <v>-74.2894246475871</v>
      </c>
      <c r="BO452">
        <f t="shared" si="420"/>
        <v>0</v>
      </c>
      <c r="BP452">
        <f t="shared" si="421"/>
        <v>0</v>
      </c>
    </row>
    <row r="453" spans="14:68">
      <c r="N453" s="7">
        <v>35</v>
      </c>
      <c r="O453" s="18">
        <f t="shared" si="422"/>
        <v>223872.113856834</v>
      </c>
      <c r="P453" s="86" t="str">
        <f t="shared" si="372"/>
        <v>75</v>
      </c>
      <c r="Q453" s="4" t="str">
        <f t="shared" si="373"/>
        <v>1+2297,4956282384i</v>
      </c>
      <c r="R453" s="4">
        <f t="shared" si="384"/>
        <v>2297.49584586666</v>
      </c>
      <c r="S453" s="4">
        <f t="shared" si="385"/>
        <v>1.57036107028143</v>
      </c>
      <c r="T453" s="4" t="str">
        <f t="shared" si="374"/>
        <v>1+22,0559580310887i</v>
      </c>
      <c r="U453" s="4">
        <f t="shared" si="386"/>
        <v>22.0786160043864</v>
      </c>
      <c r="V453" s="4">
        <f t="shared" si="387"/>
        <v>1.5254881326353</v>
      </c>
      <c r="W453" t="str">
        <f t="shared" si="375"/>
        <v>1-11,5695315564862i</v>
      </c>
      <c r="X453" s="4">
        <f t="shared" si="388"/>
        <v>11.6126681015402</v>
      </c>
      <c r="Y453" s="4">
        <f t="shared" si="389"/>
        <v>-1.48457668823856</v>
      </c>
      <c r="Z453" t="str">
        <f t="shared" si="376"/>
        <v>0,5908675643859+3,63054067600971i</v>
      </c>
      <c r="AA453" s="4">
        <f t="shared" si="390"/>
        <v>3.67830804566507</v>
      </c>
      <c r="AB453" s="4">
        <f t="shared" si="391"/>
        <v>1.40946165001467</v>
      </c>
      <c r="AC453" s="67" t="str">
        <f t="shared" si="392"/>
        <v>-2,22884664115855-0,458034937653793i</v>
      </c>
      <c r="AD453" s="68">
        <f t="shared" si="393"/>
        <v>7.14124582928426</v>
      </c>
      <c r="AE453" s="31">
        <f t="shared" si="394"/>
        <v>-168.387212472441</v>
      </c>
      <c r="AF453" s="32" t="str">
        <f t="shared" si="395"/>
        <v>249,914648392112</v>
      </c>
      <c r="AG453" s="32" t="str">
        <f t="shared" si="377"/>
        <v>1+1476,96147529611i</v>
      </c>
      <c r="AH453" s="32">
        <f t="shared" si="396"/>
        <v>1476.96181382894</v>
      </c>
      <c r="AI453" s="32">
        <f t="shared" si="397"/>
        <v>1.57011926116799</v>
      </c>
      <c r="AJ453" s="32" t="str">
        <f t="shared" si="378"/>
        <v>1+22,0559580310887i</v>
      </c>
      <c r="AK453" s="32">
        <f t="shared" si="398"/>
        <v>22.0786160043864</v>
      </c>
      <c r="AL453" s="32">
        <f t="shared" si="399"/>
        <v>1.5254881326353</v>
      </c>
      <c r="AM453" s="32" t="str">
        <f t="shared" si="379"/>
        <v>1-2,23200627475377i</v>
      </c>
      <c r="AN453" s="32">
        <f t="shared" si="400"/>
        <v>2.44578249452812</v>
      </c>
      <c r="AO453" s="32">
        <f t="shared" si="401"/>
        <v>-1.14958401489888</v>
      </c>
      <c r="AP453" s="30" t="str">
        <f t="shared" si="402"/>
        <v>3,36013696233225-8,49691215659416i</v>
      </c>
      <c r="AQ453" s="32">
        <f t="shared" si="403"/>
        <v>19.2162424782191</v>
      </c>
      <c r="AR453" s="31">
        <f t="shared" si="404"/>
        <v>-68.4234875492388</v>
      </c>
      <c r="AS453" t="str">
        <f t="shared" si="380"/>
        <v>-0,000100699300699301</v>
      </c>
      <c r="AT453" t="str">
        <f t="shared" si="381"/>
        <v>0,31606975571337i</v>
      </c>
      <c r="AU453">
        <f t="shared" si="405"/>
        <v>0.31606975571337</v>
      </c>
      <c r="AV453">
        <f t="shared" si="406"/>
        <v>1.5707963267949</v>
      </c>
      <c r="AW453" t="str">
        <f t="shared" si="382"/>
        <v>1+16,182191763157i</v>
      </c>
      <c r="AX453">
        <f t="shared" si="407"/>
        <v>16.2130604840538</v>
      </c>
      <c r="AY453">
        <f t="shared" si="408"/>
        <v>1.50907848321297</v>
      </c>
      <c r="AZ453" t="str">
        <f t="shared" si="383"/>
        <v>1+773,646487059869i</v>
      </c>
      <c r="BA453">
        <f t="shared" si="409"/>
        <v>773.647133349614</v>
      </c>
      <c r="BB453">
        <f t="shared" si="410"/>
        <v>1.56950374748405</v>
      </c>
      <c r="BC453" s="30" t="str">
        <f t="shared" si="411"/>
        <v>-0,000918069742705599+0,0151749789722261i</v>
      </c>
      <c r="BD453" s="32">
        <f t="shared" si="412"/>
        <v>-36.3615713673304</v>
      </c>
      <c r="BE453" s="31">
        <f t="shared" si="413"/>
        <v>93.4621126186956</v>
      </c>
      <c r="BF453" s="30" t="str">
        <f t="shared" si="414"/>
        <v>0,00899690720981987-0,0334021928945358i</v>
      </c>
      <c r="BG453" s="68">
        <f t="shared" si="415"/>
        <v>-29.2203255380462</v>
      </c>
      <c r="BH453" s="31">
        <f t="shared" si="416"/>
        <v>-74.9250998537458</v>
      </c>
      <c r="BI453" s="30" t="str">
        <f t="shared" si="423"/>
        <v>0,125855623228705+0,0587907657045881i</v>
      </c>
      <c r="BJ453" s="68">
        <f t="shared" si="417"/>
        <v>-17.1453288891113</v>
      </c>
      <c r="BK453" s="31">
        <f t="shared" si="424"/>
        <v>25.0386250694567</v>
      </c>
      <c r="BL453" s="32">
        <f t="shared" si="418"/>
        <v>-29.2203255380462</v>
      </c>
      <c r="BM453" s="31">
        <f t="shared" si="419"/>
        <v>-74.9250998537458</v>
      </c>
      <c r="BO453">
        <f t="shared" si="420"/>
        <v>0</v>
      </c>
      <c r="BP453">
        <f t="shared" si="421"/>
        <v>0</v>
      </c>
    </row>
    <row r="454" spans="14:68">
      <c r="N454" s="7">
        <v>36</v>
      </c>
      <c r="O454" s="18">
        <f t="shared" si="422"/>
        <v>229086.765276778</v>
      </c>
      <c r="P454" s="86" t="str">
        <f t="shared" si="372"/>
        <v>75</v>
      </c>
      <c r="Q454" s="4" t="str">
        <f t="shared" si="373"/>
        <v>1+2351,01117617204i</v>
      </c>
      <c r="R454" s="4">
        <f t="shared" si="384"/>
        <v>2351.01138884648</v>
      </c>
      <c r="S454" s="4">
        <f t="shared" si="385"/>
        <v>1.57037097792807</v>
      </c>
      <c r="T454" s="4" t="str">
        <f t="shared" si="374"/>
        <v>1+22,5697072912516i</v>
      </c>
      <c r="U454" s="4">
        <f t="shared" si="386"/>
        <v>22.5918500174903</v>
      </c>
      <c r="V454" s="4">
        <f t="shared" si="387"/>
        <v>1.526518109913</v>
      </c>
      <c r="W454" t="str">
        <f t="shared" si="375"/>
        <v>1-11,8390205657235i</v>
      </c>
      <c r="X454" s="4">
        <f t="shared" si="388"/>
        <v>11.8811787275347</v>
      </c>
      <c r="Y454" s="4">
        <f t="shared" si="389"/>
        <v>-1.4865299020705</v>
      </c>
      <c r="Z454" t="str">
        <f t="shared" si="376"/>
        <v>0,571585746734874+3,71510683195099i</v>
      </c>
      <c r="AA454" s="4">
        <f t="shared" si="390"/>
        <v>3.75882016578066</v>
      </c>
      <c r="AB454" s="4">
        <f t="shared" si="391"/>
        <v>1.41813888660315</v>
      </c>
      <c r="AC454" s="67" t="str">
        <f t="shared" si="392"/>
        <v>-2,23573869544491-0,437101029549273i</v>
      </c>
      <c r="AD454" s="68">
        <f t="shared" si="393"/>
        <v>7.15132614937231</v>
      </c>
      <c r="AE454" s="31">
        <f t="shared" si="394"/>
        <v>-168.937846731184</v>
      </c>
      <c r="AF454" s="32" t="str">
        <f t="shared" si="395"/>
        <v>249,914648392112</v>
      </c>
      <c r="AG454" s="32" t="str">
        <f t="shared" si="377"/>
        <v>1+1511,36432753917i</v>
      </c>
      <c r="AH454" s="32">
        <f t="shared" si="396"/>
        <v>1511.36465836605</v>
      </c>
      <c r="AI454" s="32">
        <f t="shared" si="397"/>
        <v>1.5701346730587</v>
      </c>
      <c r="AJ454" s="32" t="str">
        <f t="shared" si="378"/>
        <v>1+22,5697072912516i</v>
      </c>
      <c r="AK454" s="32">
        <f t="shared" si="398"/>
        <v>22.5918500174903</v>
      </c>
      <c r="AL454" s="32">
        <f t="shared" si="399"/>
        <v>1.526518109913</v>
      </c>
      <c r="AM454" s="32" t="str">
        <f t="shared" si="379"/>
        <v>1-2,28399637968222i</v>
      </c>
      <c r="AN454" s="32">
        <f t="shared" si="400"/>
        <v>2.49331896523519</v>
      </c>
      <c r="AO454" s="32">
        <f t="shared" si="401"/>
        <v>-1.15810971952794</v>
      </c>
      <c r="AP454" s="30" t="str">
        <f t="shared" si="402"/>
        <v>3,36013187537028-8,68714241304875i</v>
      </c>
      <c r="AQ454" s="32">
        <f t="shared" si="403"/>
        <v>19.3830417319259</v>
      </c>
      <c r="AR454" s="31">
        <f t="shared" si="404"/>
        <v>-68.8538441271449</v>
      </c>
      <c r="AS454" t="str">
        <f t="shared" si="380"/>
        <v>-0,000100699300699301</v>
      </c>
      <c r="AT454" t="str">
        <f t="shared" si="381"/>
        <v>0,323431966093382i</v>
      </c>
      <c r="AU454">
        <f t="shared" si="405"/>
        <v>0.323431966093382</v>
      </c>
      <c r="AV454">
        <f t="shared" si="406"/>
        <v>1.5707963267949</v>
      </c>
      <c r="AW454" t="str">
        <f t="shared" si="382"/>
        <v>1+16,559123430982i</v>
      </c>
      <c r="AX454">
        <f t="shared" si="407"/>
        <v>16.5892907866038</v>
      </c>
      <c r="AY454">
        <f t="shared" si="408"/>
        <v>1.51047990848739</v>
      </c>
      <c r="AZ454" t="str">
        <f t="shared" si="383"/>
        <v>1+791,667028710992i</v>
      </c>
      <c r="BA454">
        <f t="shared" si="409"/>
        <v>791.667660289399</v>
      </c>
      <c r="BB454">
        <f t="shared" si="410"/>
        <v>1.56953317014964</v>
      </c>
      <c r="BC454" s="30" t="str">
        <f t="shared" si="411"/>
        <v>-0,000876899940390693+0,0148320405096581i</v>
      </c>
      <c r="BD454" s="32">
        <f t="shared" si="412"/>
        <v>-36.5608280319771</v>
      </c>
      <c r="BE454" s="31">
        <f t="shared" si="413"/>
        <v>93.3835026597289</v>
      </c>
      <c r="BF454" s="30" t="str">
        <f t="shared" si="414"/>
        <v>0,00844361930585289-0,0327772730330926i</v>
      </c>
      <c r="BG454" s="68">
        <f t="shared" si="415"/>
        <v>-29.4095018826048</v>
      </c>
      <c r="BH454" s="31">
        <f t="shared" si="416"/>
        <v>-75.5543440714555</v>
      </c>
      <c r="BI454" s="30" t="str">
        <f t="shared" si="423"/>
        <v>0,125901548742291+0,0574553667574533i</v>
      </c>
      <c r="BJ454" s="68">
        <f t="shared" si="417"/>
        <v>-17.1777863000513</v>
      </c>
      <c r="BK454" s="31">
        <f t="shared" si="424"/>
        <v>24.529658532584</v>
      </c>
      <c r="BL454" s="32">
        <f t="shared" si="418"/>
        <v>-29.4095018826048</v>
      </c>
      <c r="BM454" s="31">
        <f t="shared" si="419"/>
        <v>-75.5543440714555</v>
      </c>
      <c r="BO454">
        <f t="shared" si="420"/>
        <v>0</v>
      </c>
      <c r="BP454">
        <f t="shared" si="421"/>
        <v>0</v>
      </c>
    </row>
    <row r="455" spans="14:68">
      <c r="N455" s="7">
        <v>37</v>
      </c>
      <c r="O455" s="18">
        <f t="shared" si="422"/>
        <v>234422.881531993</v>
      </c>
      <c r="P455" s="86" t="str">
        <f t="shared" si="372"/>
        <v>75</v>
      </c>
      <c r="Q455" s="4" t="str">
        <f t="shared" si="373"/>
        <v>1+2405,77326135058i</v>
      </c>
      <c r="R455" s="4">
        <f t="shared" si="384"/>
        <v>2405.77346918396</v>
      </c>
      <c r="S455" s="4">
        <f t="shared" si="385"/>
        <v>1.57038066004921</v>
      </c>
      <c r="T455" s="4" t="str">
        <f t="shared" si="374"/>
        <v>1+23,0954233089656i</v>
      </c>
      <c r="U455" s="4">
        <f t="shared" si="386"/>
        <v>23.1170624825109</v>
      </c>
      <c r="V455" s="4">
        <f t="shared" si="387"/>
        <v>1.52752473289109</v>
      </c>
      <c r="W455" t="str">
        <f t="shared" si="375"/>
        <v>1-12,1147867803726i</v>
      </c>
      <c r="X455" s="4">
        <f t="shared" si="388"/>
        <v>12.1559885954985</v>
      </c>
      <c r="Y455" s="4">
        <f t="shared" si="389"/>
        <v>-1.48843927828727</v>
      </c>
      <c r="Z455" t="str">
        <f t="shared" si="376"/>
        <v>0,551395205014178+3,80164278670981i</v>
      </c>
      <c r="AA455" s="4">
        <f t="shared" si="390"/>
        <v>3.84142220406132</v>
      </c>
      <c r="AB455" s="4">
        <f t="shared" si="391"/>
        <v>1.42675945755413</v>
      </c>
      <c r="AC455" s="67" t="str">
        <f t="shared" si="392"/>
        <v>-2,2422349388881-0,41621944093409i</v>
      </c>
      <c r="AD455" s="68">
        <f t="shared" si="393"/>
        <v>7.1607484134415</v>
      </c>
      <c r="AE455" s="31">
        <f t="shared" si="394"/>
        <v>-169.484047758865</v>
      </c>
      <c r="AF455" s="32" t="str">
        <f t="shared" si="395"/>
        <v>249,914648392112</v>
      </c>
      <c r="AG455" s="32" t="str">
        <f t="shared" si="377"/>
        <v>1+1546,56852515394i</v>
      </c>
      <c r="AH455" s="32">
        <f t="shared" si="396"/>
        <v>1546.56884845028</v>
      </c>
      <c r="AI455" s="32">
        <f t="shared" si="397"/>
        <v>1.57014973413225</v>
      </c>
      <c r="AJ455" s="32" t="str">
        <f t="shared" si="378"/>
        <v>1+23,0954233089656i</v>
      </c>
      <c r="AK455" s="32">
        <f t="shared" si="398"/>
        <v>23.1170624825109</v>
      </c>
      <c r="AL455" s="32">
        <f t="shared" si="399"/>
        <v>1.52752473289109</v>
      </c>
      <c r="AM455" s="32" t="str">
        <f t="shared" si="379"/>
        <v>1-2,33719748972343i</v>
      </c>
      <c r="AN455" s="32">
        <f t="shared" si="400"/>
        <v>2.54214321114478</v>
      </c>
      <c r="AO455" s="32">
        <f t="shared" si="401"/>
        <v>-1.16650331317497</v>
      </c>
      <c r="AP455" s="30" t="str">
        <f t="shared" si="402"/>
        <v>3,36012701735916-8,8819787070956i</v>
      </c>
      <c r="AQ455" s="32">
        <f t="shared" si="403"/>
        <v>19.5511022772508</v>
      </c>
      <c r="AR455" s="31">
        <f t="shared" si="404"/>
        <v>-69.2779493058116</v>
      </c>
      <c r="AS455" t="str">
        <f t="shared" si="380"/>
        <v>-0,000100699300699301</v>
      </c>
      <c r="AT455" t="str">
        <f t="shared" si="381"/>
        <v>0,330965664382944i</v>
      </c>
      <c r="AU455">
        <f t="shared" si="405"/>
        <v>0.330965664382944</v>
      </c>
      <c r="AV455">
        <f t="shared" si="406"/>
        <v>1.5707963267949</v>
      </c>
      <c r="AW455" t="str">
        <f t="shared" si="382"/>
        <v>1+16,944834965236i</v>
      </c>
      <c r="AX455">
        <f t="shared" si="407"/>
        <v>16.9743168345322</v>
      </c>
      <c r="AY455">
        <f t="shared" si="408"/>
        <v>1.51184966267839</v>
      </c>
      <c r="AZ455" t="str">
        <f t="shared" si="383"/>
        <v>1+810,107322699685i</v>
      </c>
      <c r="BA455">
        <f t="shared" si="409"/>
        <v>810.107939901623</v>
      </c>
      <c r="BB455">
        <f t="shared" si="410"/>
        <v>1.56956192307571</v>
      </c>
      <c r="BC455" s="30" t="str">
        <f t="shared" si="411"/>
        <v>-0,000837569919336676+0,014496743111265i</v>
      </c>
      <c r="BD455" s="32">
        <f t="shared" si="412"/>
        <v>-36.7601180333335</v>
      </c>
      <c r="BE455" s="31">
        <f t="shared" si="413"/>
        <v>93.3066689469263</v>
      </c>
      <c r="BF455" s="30" t="str">
        <f t="shared" si="414"/>
        <v>0,00791185485003422-0,0321564910205942i</v>
      </c>
      <c r="BG455" s="68">
        <f t="shared" si="415"/>
        <v>-29.599369619892</v>
      </c>
      <c r="BH455" s="31">
        <f t="shared" si="416"/>
        <v>-76.1773788119391</v>
      </c>
      <c r="BI455" s="30" t="str">
        <f t="shared" si="423"/>
        <v>0,1259454223216+0,056150176381129i</v>
      </c>
      <c r="BJ455" s="68">
        <f t="shared" si="417"/>
        <v>-17.2090157560827</v>
      </c>
      <c r="BK455" s="31">
        <f t="shared" si="424"/>
        <v>24.0287196411147</v>
      </c>
      <c r="BL455" s="32">
        <f t="shared" si="418"/>
        <v>-29.599369619892</v>
      </c>
      <c r="BM455" s="31">
        <f t="shared" si="419"/>
        <v>-76.1773788119391</v>
      </c>
      <c r="BO455">
        <f t="shared" si="420"/>
        <v>0</v>
      </c>
      <c r="BP455">
        <f t="shared" si="421"/>
        <v>0</v>
      </c>
    </row>
    <row r="456" spans="14:68">
      <c r="N456" s="7">
        <v>38</v>
      </c>
      <c r="O456" s="18">
        <f t="shared" si="422"/>
        <v>239883.291901949</v>
      </c>
      <c r="P456" s="86" t="str">
        <f t="shared" si="372"/>
        <v>75</v>
      </c>
      <c r="Q456" s="4" t="str">
        <f t="shared" si="373"/>
        <v>1+2461,81091935646i</v>
      </c>
      <c r="R456" s="4">
        <f t="shared" si="384"/>
        <v>2461.81112245897</v>
      </c>
      <c r="S456" s="4">
        <f t="shared" si="385"/>
        <v>1.57039012177844</v>
      </c>
      <c r="T456" s="4" t="str">
        <f t="shared" si="374"/>
        <v>1+23,633384825822i</v>
      </c>
      <c r="U456" s="4">
        <f t="shared" si="386"/>
        <v>23.6545318771138</v>
      </c>
      <c r="V456" s="4">
        <f t="shared" si="387"/>
        <v>1.52850852712974</v>
      </c>
      <c r="W456" t="str">
        <f t="shared" si="375"/>
        <v>1-12,3969764153307i</v>
      </c>
      <c r="X456" s="4">
        <f t="shared" si="388"/>
        <v>12.4372434342287</v>
      </c>
      <c r="Y456" s="4">
        <f t="shared" si="389"/>
        <v>-1.49030577354607</v>
      </c>
      <c r="Z456" t="str">
        <f t="shared" si="376"/>
        <v>0,530253112377828+3,89019442279481i</v>
      </c>
      <c r="AA456" s="4">
        <f t="shared" si="390"/>
        <v>3.92616619749218</v>
      </c>
      <c r="AB456" s="4">
        <f t="shared" si="391"/>
        <v>1.43532613840686</v>
      </c>
      <c r="AC456" s="67" t="str">
        <f t="shared" si="392"/>
        <v>-2,2483427027419-0,395391594767337i</v>
      </c>
      <c r="AD456" s="68">
        <f t="shared" si="393"/>
        <v>7.16952693769856</v>
      </c>
      <c r="AE456" s="31">
        <f t="shared" si="394"/>
        <v>-170.025999576341</v>
      </c>
      <c r="AF456" s="32" t="str">
        <f t="shared" si="395"/>
        <v>249,914648392112</v>
      </c>
      <c r="AG456" s="32" t="str">
        <f t="shared" si="377"/>
        <v>1+1582,59273387201i</v>
      </c>
      <c r="AH456" s="32">
        <f t="shared" si="396"/>
        <v>1582.59304980923</v>
      </c>
      <c r="AI456" s="32">
        <f t="shared" si="397"/>
        <v>1.5701644523742</v>
      </c>
      <c r="AJ456" s="32" t="str">
        <f t="shared" si="378"/>
        <v>1+23,633384825822i</v>
      </c>
      <c r="AK456" s="32">
        <f t="shared" si="398"/>
        <v>23.6545318771138</v>
      </c>
      <c r="AL456" s="32">
        <f t="shared" si="399"/>
        <v>1.52850852712974</v>
      </c>
      <c r="AM456" s="32" t="str">
        <f t="shared" si="379"/>
        <v>1-2,39163781281015i</v>
      </c>
      <c r="AN456" s="32">
        <f t="shared" si="400"/>
        <v>2.59228305315282</v>
      </c>
      <c r="AO456" s="32">
        <f t="shared" si="401"/>
        <v>-1.17476451439243</v>
      </c>
      <c r="AP456" s="30" t="str">
        <f t="shared" si="402"/>
        <v>3,36012237799434-9,08152434353692i</v>
      </c>
      <c r="AQ456" s="32">
        <f t="shared" si="403"/>
        <v>19.720384735693</v>
      </c>
      <c r="AR456" s="31">
        <f t="shared" si="404"/>
        <v>-69.6957573046425</v>
      </c>
      <c r="AS456" t="str">
        <f t="shared" si="380"/>
        <v>-0,000100699300699301</v>
      </c>
      <c r="AT456" t="str">
        <f t="shared" si="381"/>
        <v>0,33867484504861i</v>
      </c>
      <c r="AU456">
        <f t="shared" si="405"/>
        <v>0.33867484504861</v>
      </c>
      <c r="AV456">
        <f t="shared" si="406"/>
        <v>1.5707963267949</v>
      </c>
      <c r="AW456" t="str">
        <f t="shared" si="382"/>
        <v>1+17,3395308752798i</v>
      </c>
      <c r="AX456">
        <f t="shared" si="407"/>
        <v>17.368342781474</v>
      </c>
      <c r="AY456">
        <f t="shared" si="408"/>
        <v>1.51318845147641</v>
      </c>
      <c r="AZ456" t="str">
        <f t="shared" si="383"/>
        <v>1+828,977146313909i</v>
      </c>
      <c r="BA456">
        <f t="shared" si="409"/>
        <v>828.977749466626</v>
      </c>
      <c r="BB456">
        <f t="shared" si="410"/>
        <v>1.56959002150724</v>
      </c>
      <c r="BC456" s="30" t="str">
        <f t="shared" si="411"/>
        <v>-0,000799998028233814+0,0141689237853124i</v>
      </c>
      <c r="BD456" s="32">
        <f t="shared" si="412"/>
        <v>-36.959439881426</v>
      </c>
      <c r="BE456" s="31">
        <f t="shared" si="413"/>
        <v>93.2315719206781</v>
      </c>
      <c r="BF456" s="30" t="str">
        <f t="shared" si="414"/>
        <v>0,00740094310059893-0,0315402839022192i</v>
      </c>
      <c r="BG456" s="68">
        <f t="shared" si="415"/>
        <v>-29.7899129437274</v>
      </c>
      <c r="BH456" s="31">
        <f t="shared" si="416"/>
        <v>-76.7944276556633</v>
      </c>
      <c r="BI456" s="30" t="str">
        <f t="shared" si="423"/>
        <v>0,125987335001014+0,0548745194513114i</v>
      </c>
      <c r="BJ456" s="68">
        <f t="shared" si="417"/>
        <v>-17.239055145733</v>
      </c>
      <c r="BK456" s="31">
        <f t="shared" si="424"/>
        <v>23.5358146160355</v>
      </c>
      <c r="BL456" s="32">
        <f t="shared" si="418"/>
        <v>-29.7899129437274</v>
      </c>
      <c r="BM456" s="31">
        <f t="shared" si="419"/>
        <v>-76.7944276556633</v>
      </c>
      <c r="BO456">
        <f t="shared" si="420"/>
        <v>0</v>
      </c>
      <c r="BP456">
        <f t="shared" si="421"/>
        <v>0</v>
      </c>
    </row>
    <row r="457" spans="14:68">
      <c r="N457" s="7">
        <v>39</v>
      </c>
      <c r="O457" s="18">
        <f t="shared" si="422"/>
        <v>245470.891568503</v>
      </c>
      <c r="P457" s="86" t="str">
        <f t="shared" si="372"/>
        <v>75</v>
      </c>
      <c r="Q457" s="4" t="str">
        <f t="shared" si="373"/>
        <v>1+2519,1538620977i</v>
      </c>
      <c r="R457" s="4">
        <f t="shared" si="384"/>
        <v>2519.15406057703</v>
      </c>
      <c r="S457" s="4">
        <f t="shared" si="385"/>
        <v>1.5703993681325</v>
      </c>
      <c r="T457" s="4" t="str">
        <f t="shared" si="374"/>
        <v>1+24,1838770761379i</v>
      </c>
      <c r="U457" s="4">
        <f t="shared" si="386"/>
        <v>24.2045431775472</v>
      </c>
      <c r="V457" s="4">
        <f t="shared" si="387"/>
        <v>1.529470006628</v>
      </c>
      <c r="W457" t="str">
        <f t="shared" si="375"/>
        <v>1-12,6857390912777i</v>
      </c>
      <c r="X457" s="4">
        <f t="shared" si="388"/>
        <v>12.7250923883472</v>
      </c>
      <c r="Y457" s="4">
        <f t="shared" si="389"/>
        <v>-1.49213032543839</v>
      </c>
      <c r="Z457" t="str">
        <f t="shared" si="376"/>
        <v>0,508114623612768+3,98080869145559i</v>
      </c>
      <c r="AA457" s="4">
        <f t="shared" si="390"/>
        <v>4.0131058182781</v>
      </c>
      <c r="AB457" s="4">
        <f t="shared" si="391"/>
        <v>1.44384175910632</v>
      </c>
      <c r="AC457" s="67" t="str">
        <f t="shared" si="392"/>
        <v>-2,25406903543518-0,374618441045713i</v>
      </c>
      <c r="AD457" s="68">
        <f t="shared" si="393"/>
        <v>7.17767517286878</v>
      </c>
      <c r="AE457" s="31">
        <f t="shared" si="394"/>
        <v>-170.563888885011</v>
      </c>
      <c r="AF457" s="32" t="str">
        <f t="shared" si="395"/>
        <v>249,914648392112</v>
      </c>
      <c r="AG457" s="32" t="str">
        <f t="shared" si="377"/>
        <v>1+1619,45605420566i</v>
      </c>
      <c r="AH457" s="32">
        <f t="shared" si="396"/>
        <v>1619.45636295127</v>
      </c>
      <c r="AI457" s="32">
        <f t="shared" si="397"/>
        <v>1.57017883558832</v>
      </c>
      <c r="AJ457" s="32" t="str">
        <f t="shared" si="378"/>
        <v>1+24,1838770761379i</v>
      </c>
      <c r="AK457" s="32">
        <f t="shared" si="398"/>
        <v>24.2045431775472</v>
      </c>
      <c r="AL457" s="32">
        <f t="shared" si="399"/>
        <v>1.529470006628</v>
      </c>
      <c r="AM457" s="32" t="str">
        <f t="shared" si="379"/>
        <v>1-2,44734621392229i</v>
      </c>
      <c r="AN457" s="32">
        <f t="shared" si="400"/>
        <v>2.64376691309952</v>
      </c>
      <c r="AO457" s="32">
        <f t="shared" si="401"/>
        <v>-1.18289319188024</v>
      </c>
      <c r="AP457" s="30" t="str">
        <f t="shared" si="402"/>
        <v>3,36011794743521-9,28588512412948i</v>
      </c>
      <c r="AQ457" s="32">
        <f t="shared" si="403"/>
        <v>19.8908503139162</v>
      </c>
      <c r="AR457" s="31">
        <f t="shared" si="404"/>
        <v>-70.1072315978435</v>
      </c>
      <c r="AS457" t="str">
        <f t="shared" si="380"/>
        <v>-0,000100699300699301</v>
      </c>
      <c r="AT457" t="str">
        <f t="shared" si="381"/>
        <v>0,346563595600013i</v>
      </c>
      <c r="AU457">
        <f t="shared" si="405"/>
        <v>0.346563595600013</v>
      </c>
      <c r="AV457">
        <f t="shared" si="406"/>
        <v>1.5707963267949</v>
      </c>
      <c r="AW457" t="str">
        <f t="shared" si="382"/>
        <v>1+17,7434204341096i</v>
      </c>
      <c r="AX457">
        <f t="shared" si="407"/>
        <v>17.7715775524172</v>
      </c>
      <c r="AY457">
        <f t="shared" si="408"/>
        <v>1.51449696551746</v>
      </c>
      <c r="AZ457" t="str">
        <f t="shared" si="383"/>
        <v>1+848,286504583919i</v>
      </c>
      <c r="BA457">
        <f t="shared" si="409"/>
        <v>848.287094007214</v>
      </c>
      <c r="BB457">
        <f t="shared" si="410"/>
        <v>1.56961748034223</v>
      </c>
      <c r="BC457" s="30" t="str">
        <f t="shared" si="411"/>
        <v>-0,000764106190037879+0,013848422529105i</v>
      </c>
      <c r="BD457" s="32">
        <f t="shared" si="412"/>
        <v>-37.1587921524286</v>
      </c>
      <c r="BE457" s="31">
        <f t="shared" si="413"/>
        <v>93.1581728640477</v>
      </c>
      <c r="BF457" s="30" t="str">
        <f t="shared" si="414"/>
        <v>0,00691022256154438-0,0309290521427732i</v>
      </c>
      <c r="BG457" s="68">
        <f t="shared" si="415"/>
        <v>-29.9811169795598</v>
      </c>
      <c r="BH457" s="31">
        <f t="shared" si="416"/>
        <v>-77.4057160209636</v>
      </c>
      <c r="BI457" s="30" t="str">
        <f t="shared" si="423"/>
        <v>0,126027373832783+0,0536277353870398i</v>
      </c>
      <c r="BJ457" s="68">
        <f t="shared" si="417"/>
        <v>-17.2679418385123</v>
      </c>
      <c r="BK457" s="31">
        <f t="shared" si="424"/>
        <v>23.0509412662042</v>
      </c>
      <c r="BL457" s="32">
        <f t="shared" si="418"/>
        <v>-29.9811169795598</v>
      </c>
      <c r="BM457" s="31">
        <f t="shared" si="419"/>
        <v>-77.4057160209636</v>
      </c>
      <c r="BO457">
        <f t="shared" si="420"/>
        <v>0</v>
      </c>
      <c r="BP457">
        <f t="shared" si="421"/>
        <v>0</v>
      </c>
    </row>
    <row r="458" spans="14:68">
      <c r="N458" s="7">
        <v>40</v>
      </c>
      <c r="O458" s="18">
        <f t="shared" si="422"/>
        <v>251188.643150958</v>
      </c>
      <c r="P458" s="86" t="str">
        <f t="shared" si="372"/>
        <v>75</v>
      </c>
      <c r="Q458" s="4" t="str">
        <f t="shared" si="373"/>
        <v>1+2577,83249356158i</v>
      </c>
      <c r="R458" s="4">
        <f t="shared" si="384"/>
        <v>2577.83268752297</v>
      </c>
      <c r="S458" s="4">
        <f t="shared" si="385"/>
        <v>1.5704084040139</v>
      </c>
      <c r="T458" s="4" t="str">
        <f t="shared" si="374"/>
        <v>1+24,7471919381912i</v>
      </c>
      <c r="U458" s="4">
        <f t="shared" si="386"/>
        <v>24.7673880097534</v>
      </c>
      <c r="V458" s="4">
        <f t="shared" si="387"/>
        <v>1.53040967406031</v>
      </c>
      <c r="W458" t="str">
        <f t="shared" si="375"/>
        <v>1-12,9812279140065i</v>
      </c>
      <c r="X458" s="4">
        <f t="shared" si="388"/>
        <v>13.0196880974692</v>
      </c>
      <c r="Y458" s="4">
        <f t="shared" si="389"/>
        <v>-1.49391385274736</v>
      </c>
      <c r="Z458" t="str">
        <f t="shared" si="376"/>
        <v>0,484932780016163+4,07353363757684i</v>
      </c>
      <c r="AA458" s="4">
        <f t="shared" si="390"/>
        <v>4.10229644194617</v>
      </c>
      <c r="AB458" s="4">
        <f t="shared" si="391"/>
        <v>1.45230919985675</v>
      </c>
      <c r="AC458" s="67" t="str">
        <f t="shared" si="392"/>
        <v>-2,25942068379459-0,353900485127558i</v>
      </c>
      <c r="AD458" s="68">
        <f t="shared" si="393"/>
        <v>7.1852056986469</v>
      </c>
      <c r="AE458" s="31">
        <f t="shared" si="394"/>
        <v>-171.09790483059</v>
      </c>
      <c r="AF458" s="32" t="str">
        <f t="shared" si="395"/>
        <v>249,914648392112</v>
      </c>
      <c r="AG458" s="32" t="str">
        <f t="shared" si="377"/>
        <v>1+1657,1780315753i</v>
      </c>
      <c r="AH458" s="32">
        <f t="shared" si="396"/>
        <v>1657.17833329301</v>
      </c>
      <c r="AI458" s="32">
        <f t="shared" si="397"/>
        <v>1.57019289140077</v>
      </c>
      <c r="AJ458" s="32" t="str">
        <f t="shared" si="378"/>
        <v>1+24,7471919381912i</v>
      </c>
      <c r="AK458" s="32">
        <f t="shared" si="398"/>
        <v>24.7673880097534</v>
      </c>
      <c r="AL458" s="32">
        <f t="shared" si="399"/>
        <v>1.53040967406031</v>
      </c>
      <c r="AM458" s="32" t="str">
        <f t="shared" si="379"/>
        <v>1-2,50435223039152i</v>
      </c>
      <c r="AN458" s="32">
        <f t="shared" si="400"/>
        <v>2.69662383247404</v>
      </c>
      <c r="AO458" s="32">
        <f t="shared" si="401"/>
        <v>-1.19088935767785</v>
      </c>
      <c r="AP458" s="30" t="str">
        <f t="shared" si="402"/>
        <v>3,36011371628391-9,49516940368174i</v>
      </c>
      <c r="AQ458" s="32">
        <f t="shared" si="403"/>
        <v>20.062460846101</v>
      </c>
      <c r="AR458" s="31">
        <f t="shared" si="404"/>
        <v>-70.5123445110462</v>
      </c>
      <c r="AS458" t="str">
        <f t="shared" si="380"/>
        <v>-0,000100699300699301</v>
      </c>
      <c r="AT458" t="str">
        <f t="shared" si="381"/>
        <v>0,354636098757114i</v>
      </c>
      <c r="AU458">
        <f t="shared" si="405"/>
        <v>0.354636098757114</v>
      </c>
      <c r="AV458">
        <f t="shared" si="406"/>
        <v>1.5707963267949</v>
      </c>
      <c r="AW458" t="str">
        <f t="shared" si="382"/>
        <v>1+18,1567177893155i</v>
      </c>
      <c r="AX458">
        <f t="shared" si="407"/>
        <v>18.1842349545106</v>
      </c>
      <c r="AY458">
        <f t="shared" si="408"/>
        <v>1.51577588065925</v>
      </c>
      <c r="AZ458" t="str">
        <f t="shared" si="383"/>
        <v>1+868,045635587063i</v>
      </c>
      <c r="BA458">
        <f t="shared" si="409"/>
        <v>868.046211593454</v>
      </c>
      <c r="BB458">
        <f t="shared" si="410"/>
        <v>1.56964431413954</v>
      </c>
      <c r="BC458" s="30" t="str">
        <f t="shared" si="411"/>
        <v>-0,000729819749860579+0,0135350823080975i</v>
      </c>
      <c r="BD458" s="32">
        <f t="shared" si="412"/>
        <v>-37.3581734857644</v>
      </c>
      <c r="BE458" s="31">
        <f t="shared" si="413"/>
        <v>93.086433887402</v>
      </c>
      <c r="BF458" s="30" t="str">
        <f t="shared" si="414"/>
        <v>0,00643904203335392-0,0303231613602464i</v>
      </c>
      <c r="BG458" s="68">
        <f t="shared" si="415"/>
        <v>-30.1729677871175</v>
      </c>
      <c r="BH458" s="31">
        <f t="shared" si="416"/>
        <v>-78.0114709431879</v>
      </c>
      <c r="BI458" s="30" t="str">
        <f t="shared" si="423"/>
        <v>0,12606562205624+0,0524091778735489i</v>
      </c>
      <c r="BJ458" s="68">
        <f t="shared" si="417"/>
        <v>-17.2957126396634</v>
      </c>
      <c r="BK458" s="31">
        <f t="shared" si="424"/>
        <v>22.5740893763558</v>
      </c>
      <c r="BL458" s="32">
        <f t="shared" si="418"/>
        <v>-30.1729677871175</v>
      </c>
      <c r="BM458" s="31">
        <f t="shared" si="419"/>
        <v>-78.0114709431879</v>
      </c>
      <c r="BO458">
        <f t="shared" si="420"/>
        <v>0</v>
      </c>
      <c r="BP458">
        <f t="shared" si="421"/>
        <v>0</v>
      </c>
    </row>
    <row r="459" spans="14:68">
      <c r="N459" s="7">
        <v>41</v>
      </c>
      <c r="O459" s="18">
        <f t="shared" si="422"/>
        <v>257039.578276887</v>
      </c>
      <c r="P459" s="86" t="str">
        <f t="shared" si="372"/>
        <v>75</v>
      </c>
      <c r="Q459" s="4" t="str">
        <f t="shared" si="373"/>
        <v>1+2637,87792593518i</v>
      </c>
      <c r="R459" s="4">
        <f t="shared" si="384"/>
        <v>2637.87811548147</v>
      </c>
      <c r="S459" s="4">
        <f t="shared" si="385"/>
        <v>1.5704172342136</v>
      </c>
      <c r="T459" s="4" t="str">
        <f t="shared" si="374"/>
        <v>1+25,3236280889778i</v>
      </c>
      <c r="U459" s="4">
        <f t="shared" si="386"/>
        <v>25.3433648040047</v>
      </c>
      <c r="V459" s="4">
        <f t="shared" si="387"/>
        <v>1.53132802100939</v>
      </c>
      <c r="W459" t="str">
        <f t="shared" si="375"/>
        <v>1-13,2835995556022i</v>
      </c>
      <c r="X459" s="4">
        <f t="shared" si="388"/>
        <v>13.3211867772205</v>
      </c>
      <c r="Y459" s="4">
        <f t="shared" si="389"/>
        <v>-1.49565725571065</v>
      </c>
      <c r="Z459" t="str">
        <f t="shared" si="376"/>
        <v>0,460658409789715+4,1684184251523i</v>
      </c>
      <c r="AA459" s="4">
        <f t="shared" si="390"/>
        <v>4.1937952188512</v>
      </c>
      <c r="AB459" s="4">
        <f t="shared" si="391"/>
        <v>1.46073138714479</v>
      </c>
      <c r="AC459" s="67" t="str">
        <f t="shared" si="392"/>
        <v>-2,26440407603008-0,333237816022191i</v>
      </c>
      <c r="AD459" s="68">
        <f t="shared" si="393"/>
        <v>7.19213021907725</v>
      </c>
      <c r="AE459" s="31">
        <f t="shared" si="394"/>
        <v>-171.628238777114</v>
      </c>
      <c r="AF459" s="32" t="str">
        <f t="shared" si="395"/>
        <v>249,914648392112</v>
      </c>
      <c r="AG459" s="32" t="str">
        <f t="shared" si="377"/>
        <v>1+1695,77866667262i</v>
      </c>
      <c r="AH459" s="32">
        <f t="shared" si="396"/>
        <v>1695.77896152239</v>
      </c>
      <c r="AI459" s="32">
        <f t="shared" si="397"/>
        <v>1.57020662726409</v>
      </c>
      <c r="AJ459" s="32" t="str">
        <f t="shared" si="378"/>
        <v>1+25,3236280889778i</v>
      </c>
      <c r="AK459" s="32">
        <f t="shared" si="398"/>
        <v>25.3433648040047</v>
      </c>
      <c r="AL459" s="32">
        <f t="shared" si="399"/>
        <v>1.53132802100939</v>
      </c>
      <c r="AM459" s="32" t="str">
        <f t="shared" si="379"/>
        <v>1-2,56268608756231i</v>
      </c>
      <c r="AN459" s="32">
        <f t="shared" si="400"/>
        <v>2.75088349142333</v>
      </c>
      <c r="AO459" s="32">
        <f t="shared" si="401"/>
        <v>-1.19875316030325</v>
      </c>
      <c r="AP459" s="30" t="str">
        <f t="shared" si="402"/>
        <v>3,36010967556567-9,7094881475053i</v>
      </c>
      <c r="AQ459" s="32">
        <f t="shared" si="403"/>
        <v>20.235178831783</v>
      </c>
      <c r="AR459" s="31">
        <f t="shared" si="404"/>
        <v>-70.9110768150912</v>
      </c>
      <c r="AS459" t="str">
        <f t="shared" si="380"/>
        <v>-0,000100699300699301</v>
      </c>
      <c r="AT459" t="str">
        <f t="shared" si="381"/>
        <v>0,362896634667941i</v>
      </c>
      <c r="AU459">
        <f t="shared" si="405"/>
        <v>0.362896634667941</v>
      </c>
      <c r="AV459">
        <f t="shared" si="406"/>
        <v>1.5707963267949</v>
      </c>
      <c r="AW459" t="str">
        <f t="shared" si="382"/>
        <v>1+18,5796420766259i</v>
      </c>
      <c r="AX459">
        <f t="shared" si="407"/>
        <v>18.6065337904599</v>
      </c>
      <c r="AY459">
        <f t="shared" si="408"/>
        <v>1.51702585825545</v>
      </c>
      <c r="AZ459" t="str">
        <f t="shared" si="383"/>
        <v>1+888,265015876133i</v>
      </c>
      <c r="BA459">
        <f t="shared" si="409"/>
        <v>888.265578771027</v>
      </c>
      <c r="BB459">
        <f t="shared" si="410"/>
        <v>1.56967053712666</v>
      </c>
      <c r="BC459" s="30" t="str">
        <f t="shared" si="411"/>
        <v>-0,000697067328947643+0,0132287490324373i</v>
      </c>
      <c r="BD459" s="32">
        <f t="shared" si="412"/>
        <v>-37.5575825813329</v>
      </c>
      <c r="BE459" s="31">
        <f t="shared" si="413"/>
        <v>93.0163179131415</v>
      </c>
      <c r="BF459" s="30" t="str">
        <f t="shared" si="414"/>
        <v>0,00598676153721152-0,0297229440355111i</v>
      </c>
      <c r="BG459" s="68">
        <f t="shared" si="415"/>
        <v>-30.3654523622556</v>
      </c>
      <c r="BH459" s="31">
        <f t="shared" si="416"/>
        <v>-78.6119208639727</v>
      </c>
      <c r="BI459" s="30" t="str">
        <f t="shared" si="423"/>
        <v>0,126102159260255+0,0512182145879529i</v>
      </c>
      <c r="BJ459" s="68">
        <f t="shared" si="417"/>
        <v>-17.3224037495498</v>
      </c>
      <c r="BK459" s="31">
        <f t="shared" si="424"/>
        <v>22.1052410980502</v>
      </c>
      <c r="BL459" s="32">
        <f t="shared" si="418"/>
        <v>-30.3654523622556</v>
      </c>
      <c r="BM459" s="31">
        <f t="shared" si="419"/>
        <v>-78.6119208639727</v>
      </c>
      <c r="BO459">
        <f t="shared" si="420"/>
        <v>0</v>
      </c>
      <c r="BP459">
        <f t="shared" si="421"/>
        <v>0</v>
      </c>
    </row>
    <row r="460" spans="14:68">
      <c r="N460" s="7">
        <v>42</v>
      </c>
      <c r="O460" s="18">
        <f t="shared" si="422"/>
        <v>263026.799189539</v>
      </c>
      <c r="P460" s="86" t="str">
        <f t="shared" si="372"/>
        <v>75</v>
      </c>
      <c r="Q460" s="4" t="str">
        <f t="shared" si="373"/>
        <v>1+2699,32199610158i</v>
      </c>
      <c r="R460" s="4">
        <f t="shared" si="384"/>
        <v>2699.32218133327</v>
      </c>
      <c r="S460" s="4">
        <f t="shared" si="385"/>
        <v>1.57042586341346</v>
      </c>
      <c r="T460" s="4" t="str">
        <f t="shared" si="374"/>
        <v>1+25,9134911625752i</v>
      </c>
      <c r="U460" s="4">
        <f t="shared" si="386"/>
        <v>25.9327789531485</v>
      </c>
      <c r="V460" s="4">
        <f t="shared" si="387"/>
        <v>1.53222552819542</v>
      </c>
      <c r="W460" t="str">
        <f t="shared" si="375"/>
        <v>1-13,5930143375115i</v>
      </c>
      <c r="X460" s="4">
        <f t="shared" si="388"/>
        <v>13.6297483021439</v>
      </c>
      <c r="Y460" s="4">
        <f t="shared" si="389"/>
        <v>-1.49736141628793</v>
      </c>
      <c r="Z460" t="str">
        <f t="shared" si="376"/>
        <v>0,435240023739635+4,26551336335235i</v>
      </c>
      <c r="AA460" s="4">
        <f t="shared" si="390"/>
        <v>4.28766114929834</v>
      </c>
      <c r="AB460" s="4">
        <f t="shared" si="391"/>
        <v>1.46911128992564</v>
      </c>
      <c r="AC460" s="67" t="str">
        <f t="shared" si="392"/>
        <v>-2,26902530637844-0,312630134577171i</v>
      </c>
      <c r="AD460" s="68">
        <f t="shared" si="393"/>
        <v>7.19845955871336</v>
      </c>
      <c r="AE460" s="31">
        <f t="shared" si="394"/>
        <v>-172.155084090768</v>
      </c>
      <c r="AF460" s="32" t="str">
        <f t="shared" si="395"/>
        <v>249,914648392112</v>
      </c>
      <c r="AG460" s="32" t="str">
        <f t="shared" si="377"/>
        <v>1+1735,2784260653i</v>
      </c>
      <c r="AH460" s="32">
        <f t="shared" si="396"/>
        <v>1735.27871420347</v>
      </c>
      <c r="AI460" s="32">
        <f t="shared" si="397"/>
        <v>1.57022005046121</v>
      </c>
      <c r="AJ460" s="32" t="str">
        <f t="shared" si="378"/>
        <v>1+25,9134911625752i</v>
      </c>
      <c r="AK460" s="32">
        <f t="shared" si="398"/>
        <v>25.9327789531485</v>
      </c>
      <c r="AL460" s="32">
        <f t="shared" si="399"/>
        <v>1.53222552819542</v>
      </c>
      <c r="AM460" s="32" t="str">
        <f t="shared" si="379"/>
        <v>1-2,62237871481791i</v>
      </c>
      <c r="AN460" s="32">
        <f t="shared" si="400"/>
        <v>2.8065762280633</v>
      </c>
      <c r="AO460" s="32">
        <f t="shared" si="401"/>
        <v>-1.20648487787511</v>
      </c>
      <c r="AP460" s="30" t="str">
        <f t="shared" si="402"/>
        <v>3,36010581670958-9,92895499025055i</v>
      </c>
      <c r="AQ460" s="32">
        <f t="shared" si="403"/>
        <v>20.4089674693225</v>
      </c>
      <c r="AR460" s="31">
        <f t="shared" si="404"/>
        <v>-71.3034173190462</v>
      </c>
      <c r="AS460" t="str">
        <f t="shared" si="380"/>
        <v>-0,000100699300699301</v>
      </c>
      <c r="AT460" t="str">
        <f t="shared" si="381"/>
        <v>0,371349583177973i</v>
      </c>
      <c r="AU460">
        <f t="shared" si="405"/>
        <v>0.371349583177973</v>
      </c>
      <c r="AV460">
        <f t="shared" si="406"/>
        <v>1.5707963267949</v>
      </c>
      <c r="AW460" t="str">
        <f t="shared" si="382"/>
        <v>1+19,012417536096i</v>
      </c>
      <c r="AX460">
        <f t="shared" si="407"/>
        <v>19.0386979745688</v>
      </c>
      <c r="AY460">
        <f t="shared" si="408"/>
        <v>1.51824754542772</v>
      </c>
      <c r="AZ460" t="str">
        <f t="shared" si="383"/>
        <v>1+908,955366034204i</v>
      </c>
      <c r="BA460">
        <f t="shared" si="409"/>
        <v>908.955916116053</v>
      </c>
      <c r="BB460">
        <f t="shared" si="410"/>
        <v>1.56969616320721</v>
      </c>
      <c r="BC460" s="30" t="str">
        <f t="shared" si="411"/>
        <v>-0,000665780684536035+0,0129292715311934i</v>
      </c>
      <c r="BD460" s="32">
        <f t="shared" si="412"/>
        <v>-37.7570181968533</v>
      </c>
      <c r="BE460" s="31">
        <f t="shared" si="413"/>
        <v>92.9477886605462</v>
      </c>
      <c r="BF460" s="30" t="str">
        <f t="shared" si="414"/>
        <v>0,005552753120492-0,0291287011923108i</v>
      </c>
      <c r="BG460" s="68">
        <f t="shared" si="415"/>
        <v>-30.55855863814</v>
      </c>
      <c r="BH460" s="31">
        <f t="shared" si="416"/>
        <v>-79.2072954302222</v>
      </c>
      <c r="BI460" s="30" t="str">
        <f t="shared" si="423"/>
        <v>0,126137061539185+0,050054226927917i</v>
      </c>
      <c r="BJ460" s="68">
        <f t="shared" si="417"/>
        <v>-17.3480507275308</v>
      </c>
      <c r="BK460" s="31">
        <f t="shared" si="424"/>
        <v>21.6443713414999</v>
      </c>
      <c r="BL460" s="32">
        <f t="shared" si="418"/>
        <v>-30.55855863814</v>
      </c>
      <c r="BM460" s="31">
        <f t="shared" si="419"/>
        <v>-79.2072954302222</v>
      </c>
      <c r="BO460">
        <f t="shared" si="420"/>
        <v>0</v>
      </c>
      <c r="BP460">
        <f t="shared" si="421"/>
        <v>0</v>
      </c>
    </row>
    <row r="461" spans="14:68">
      <c r="N461" s="7">
        <v>43</v>
      </c>
      <c r="O461" s="18">
        <f t="shared" si="422"/>
        <v>269153.480392691</v>
      </c>
      <c r="P461" s="86" t="str">
        <f t="shared" si="372"/>
        <v>75</v>
      </c>
      <c r="Q461" s="4" t="str">
        <f t="shared" si="373"/>
        <v>1+2762,19728252001i</v>
      </c>
      <c r="R461" s="4">
        <f t="shared" si="384"/>
        <v>2762.19746353531</v>
      </c>
      <c r="S461" s="4">
        <f t="shared" si="385"/>
        <v>1.57043429618881</v>
      </c>
      <c r="T461" s="4" t="str">
        <f t="shared" si="374"/>
        <v>1+26,5170939121921i</v>
      </c>
      <c r="U461" s="4">
        <f t="shared" si="386"/>
        <v>26.5359429745396</v>
      </c>
      <c r="V461" s="4">
        <f t="shared" si="387"/>
        <v>1.53310266570161</v>
      </c>
      <c r="W461" t="str">
        <f t="shared" si="375"/>
        <v>1-13,9096363155472i</v>
      </c>
      <c r="X461" s="4">
        <f t="shared" si="388"/>
        <v>13.9455362905408</v>
      </c>
      <c r="Y461" s="4">
        <f t="shared" si="389"/>
        <v>-1.49902719843225</v>
      </c>
      <c r="Z461" t="str">
        <f t="shared" si="376"/>
        <v>0,408623706061235+4,36486993319833i</v>
      </c>
      <c r="AA461" s="4">
        <f t="shared" si="390"/>
        <v>4.38395516250954</v>
      </c>
      <c r="AB461" s="4">
        <f t="shared" si="391"/>
        <v>1.47745191596497</v>
      </c>
      <c r="AC461" s="67" t="str">
        <f t="shared" si="392"/>
        <v>-2,27329012130476-0,292076781509619i</v>
      </c>
      <c r="AD461" s="68">
        <f t="shared" si="393"/>
        <v>7.20420365942531</v>
      </c>
      <c r="AE461" s="31">
        <f t="shared" si="394"/>
        <v>-172.678635933056</v>
      </c>
      <c r="AF461" s="32" t="str">
        <f t="shared" si="395"/>
        <v>249,914648392112</v>
      </c>
      <c r="AG461" s="32" t="str">
        <f t="shared" si="377"/>
        <v>1+1775,69825304858i</v>
      </c>
      <c r="AH461" s="32">
        <f t="shared" si="396"/>
        <v>1775.69853462793</v>
      </c>
      <c r="AI461" s="32">
        <f t="shared" si="397"/>
        <v>1.57023316810925</v>
      </c>
      <c r="AJ461" s="32" t="str">
        <f t="shared" si="378"/>
        <v>1+26,5170939121921i</v>
      </c>
      <c r="AK461" s="32">
        <f t="shared" si="398"/>
        <v>26.5359429745396</v>
      </c>
      <c r="AL461" s="32">
        <f t="shared" si="399"/>
        <v>1.53310266570161</v>
      </c>
      <c r="AM461" s="32" t="str">
        <f t="shared" si="379"/>
        <v>1-2,68346176197935i</v>
      </c>
      <c r="AN461" s="32">
        <f t="shared" si="400"/>
        <v>2.86373305809136</v>
      </c>
      <c r="AO461" s="32">
        <f t="shared" si="401"/>
        <v>-1.21408491125101</v>
      </c>
      <c r="AP461" s="30" t="str">
        <f t="shared" si="402"/>
        <v>3,3601021315305-10,1536862961564i</v>
      </c>
      <c r="AQ461" s="32">
        <f t="shared" si="403"/>
        <v>20.5837906851647</v>
      </c>
      <c r="AR461" s="31">
        <f t="shared" si="404"/>
        <v>-71.689362464356</v>
      </c>
      <c r="AS461" t="str">
        <f t="shared" si="380"/>
        <v>-0,000100699300699301</v>
      </c>
      <c r="AT461" t="str">
        <f t="shared" si="381"/>
        <v>0,379999426152397i</v>
      </c>
      <c r="AU461">
        <f t="shared" si="405"/>
        <v>0.379999426152397</v>
      </c>
      <c r="AV461">
        <f t="shared" si="406"/>
        <v>1.5707963267949</v>
      </c>
      <c r="AW461" t="str">
        <f t="shared" si="382"/>
        <v>1+19,4552736310025i</v>
      </c>
      <c r="AX461">
        <f t="shared" si="407"/>
        <v>19.4809566514887</v>
      </c>
      <c r="AY461">
        <f t="shared" si="408"/>
        <v>1.51944157533536</v>
      </c>
      <c r="AZ461" t="str">
        <f t="shared" si="383"/>
        <v>1+930,127656358779i</v>
      </c>
      <c r="BA461">
        <f t="shared" si="409"/>
        <v>930.128193919244</v>
      </c>
      <c r="BB461">
        <f t="shared" si="410"/>
        <v>1.56972120596834</v>
      </c>
      <c r="BC461" s="30" t="str">
        <f t="shared" si="411"/>
        <v>-0,000635894575385013+0,0126365015245016i</v>
      </c>
      <c r="BD461" s="32">
        <f t="shared" si="412"/>
        <v>-37.9564791453239</v>
      </c>
      <c r="BE461" s="31">
        <f t="shared" si="413"/>
        <v>92.8808106307466</v>
      </c>
      <c r="BF461" s="30" t="str">
        <f t="shared" si="414"/>
        <v>0,00513640155123186-0,0285407040425441i</v>
      </c>
      <c r="BG461" s="68">
        <f t="shared" si="415"/>
        <v>-30.7522754858986</v>
      </c>
      <c r="BH461" s="31">
        <f t="shared" si="416"/>
        <v>-79.7978253023095</v>
      </c>
      <c r="BI461" s="30" t="str">
        <f t="shared" si="423"/>
        <v>0,126170401642511+0,0489166097434532i</v>
      </c>
      <c r="BJ461" s="68">
        <f t="shared" si="417"/>
        <v>-17.3726884601592</v>
      </c>
      <c r="BK461" s="31">
        <f t="shared" si="424"/>
        <v>21.1914481663907</v>
      </c>
      <c r="BL461" s="32">
        <f t="shared" si="418"/>
        <v>-30.7522754858986</v>
      </c>
      <c r="BM461" s="31">
        <f t="shared" si="419"/>
        <v>-79.7978253023095</v>
      </c>
      <c r="BO461">
        <f t="shared" si="420"/>
        <v>0</v>
      </c>
      <c r="BP461">
        <f t="shared" si="421"/>
        <v>0</v>
      </c>
    </row>
    <row r="462" spans="14:68">
      <c r="N462" s="7">
        <v>44</v>
      </c>
      <c r="O462" s="18">
        <f t="shared" si="422"/>
        <v>275422.870333817</v>
      </c>
      <c r="P462" s="86" t="str">
        <f t="shared" si="372"/>
        <v>75</v>
      </c>
      <c r="Q462" s="4" t="str">
        <f t="shared" si="373"/>
        <v>1+2826,53712249969i</v>
      </c>
      <c r="R462" s="4">
        <f t="shared" si="384"/>
        <v>2826.53729939458</v>
      </c>
      <c r="S462" s="4">
        <f t="shared" si="385"/>
        <v>1.57044253701081</v>
      </c>
      <c r="T462" s="4" t="str">
        <f t="shared" si="374"/>
        <v>1+27,1347563759971i</v>
      </c>
      <c r="U462" s="4">
        <f t="shared" si="386"/>
        <v>27.1531766757541</v>
      </c>
      <c r="V462" s="4">
        <f t="shared" si="387"/>
        <v>1.53395989319607</v>
      </c>
      <c r="W462" t="str">
        <f t="shared" si="375"/>
        <v>1-14,2336333668735i</v>
      </c>
      <c r="X462" s="4">
        <f t="shared" si="388"/>
        <v>14.2687181912944</v>
      </c>
      <c r="Y462" s="4">
        <f t="shared" si="389"/>
        <v>-1.50065544836452</v>
      </c>
      <c r="Z462" t="str">
        <f t="shared" si="376"/>
        <v>0,380752999976169+4,46654081485884i</v>
      </c>
      <c r="AA462" s="4">
        <f t="shared" si="390"/>
        <v>4.48274019967594</v>
      </c>
      <c r="AB462" s="4">
        <f t="shared" si="391"/>
        <v>1.48575630832848</v>
      </c>
      <c r="AC462" s="67" t="str">
        <f t="shared" si="392"/>
        <v>-2,27720390716263-0,271576765238698i</v>
      </c>
      <c r="AD462" s="68">
        <f t="shared" si="393"/>
        <v>7.20937157772226</v>
      </c>
      <c r="AE462" s="31">
        <f t="shared" si="394"/>
        <v>-173.199091062823</v>
      </c>
      <c r="AF462" s="32" t="str">
        <f t="shared" si="395"/>
        <v>249,914648392112</v>
      </c>
      <c r="AG462" s="32" t="str">
        <f t="shared" si="377"/>
        <v>1+1817,0595787498i</v>
      </c>
      <c r="AH462" s="32">
        <f t="shared" si="396"/>
        <v>1817.05985391962</v>
      </c>
      <c r="AI462" s="32">
        <f t="shared" si="397"/>
        <v>1.57024598716336</v>
      </c>
      <c r="AJ462" s="32" t="str">
        <f t="shared" si="378"/>
        <v>1+27,1347563759971i</v>
      </c>
      <c r="AK462" s="32">
        <f t="shared" si="398"/>
        <v>27.1531766757541</v>
      </c>
      <c r="AL462" s="32">
        <f t="shared" si="399"/>
        <v>1.53395989319607</v>
      </c>
      <c r="AM462" s="32" t="str">
        <f t="shared" si="379"/>
        <v>1-2,74596761608686i</v>
      </c>
      <c r="AN462" s="32">
        <f t="shared" si="400"/>
        <v>2.92238569470181</v>
      </c>
      <c r="AO462" s="32">
        <f t="shared" si="401"/>
        <v>-1.22155377721226</v>
      </c>
      <c r="AP462" s="30" t="str">
        <f t="shared" si="402"/>
        <v>3,36009861221172-10,3838012207499i</v>
      </c>
      <c r="AQ462" s="32">
        <f t="shared" si="403"/>
        <v>20.7596131590707</v>
      </c>
      <c r="AR462" s="31">
        <f t="shared" si="404"/>
        <v>-72.0689159218677</v>
      </c>
      <c r="AS462" t="str">
        <f t="shared" si="380"/>
        <v>-0,000100699300699301</v>
      </c>
      <c r="AT462" t="str">
        <f t="shared" si="381"/>
        <v>0,388850749852457i</v>
      </c>
      <c r="AU462">
        <f t="shared" si="405"/>
        <v>0.388850749852457</v>
      </c>
      <c r="AV462">
        <f t="shared" si="406"/>
        <v>1.5707963267949</v>
      </c>
      <c r="AW462" t="str">
        <f t="shared" si="382"/>
        <v>1+19,9084451695096i</v>
      </c>
      <c r="AX462">
        <f t="shared" si="407"/>
        <v>19.9335443177416</v>
      </c>
      <c r="AY462">
        <f t="shared" si="408"/>
        <v>1.5206085674424</v>
      </c>
      <c r="AZ462" t="str">
        <f t="shared" si="383"/>
        <v>1+951,793112678468i</v>
      </c>
      <c r="BA462">
        <f t="shared" si="409"/>
        <v>951.79363800257</v>
      </c>
      <c r="BB462">
        <f t="shared" si="410"/>
        <v>1.56974567868794</v>
      </c>
      <c r="BC462" s="30" t="str">
        <f t="shared" si="411"/>
        <v>-0,000607346632780314+0,0123502935938428i</v>
      </c>
      <c r="BD462" s="32">
        <f t="shared" si="412"/>
        <v>-38.1559642925891</v>
      </c>
      <c r="BE462" s="31">
        <f t="shared" si="413"/>
        <v>92.8153490918344</v>
      </c>
      <c r="BF462" s="30" t="str">
        <f t="shared" si="414"/>
        <v>0,00473710490913344-0,0279591955925953i</v>
      </c>
      <c r="BG462" s="68">
        <f t="shared" si="415"/>
        <v>-30.9465927148669</v>
      </c>
      <c r="BH462" s="31">
        <f t="shared" si="416"/>
        <v>-80.3837419709885</v>
      </c>
      <c r="BI462" s="30" t="str">
        <f t="shared" si="423"/>
        <v>0,126202249118428+0,0478047710719611i</v>
      </c>
      <c r="BJ462" s="68">
        <f t="shared" si="417"/>
        <v>-17.3963511335184</v>
      </c>
      <c r="BK462" s="31">
        <f t="shared" si="424"/>
        <v>20.7464331699667</v>
      </c>
      <c r="BL462" s="32">
        <f t="shared" si="418"/>
        <v>-30.9465927148669</v>
      </c>
      <c r="BM462" s="31">
        <f t="shared" si="419"/>
        <v>-80.3837419709885</v>
      </c>
      <c r="BO462">
        <f t="shared" si="420"/>
        <v>0</v>
      </c>
      <c r="BP462">
        <f t="shared" si="421"/>
        <v>0</v>
      </c>
    </row>
    <row r="463" spans="14:68">
      <c r="N463" s="7">
        <v>45</v>
      </c>
      <c r="O463" s="18">
        <f t="shared" si="422"/>
        <v>281838.293126446</v>
      </c>
      <c r="P463" s="86" t="str">
        <f t="shared" si="372"/>
        <v>75</v>
      </c>
      <c r="Q463" s="4" t="str">
        <f t="shared" si="373"/>
        <v>1+2892,37562987534i</v>
      </c>
      <c r="R463" s="4">
        <f t="shared" si="384"/>
        <v>2892.37580274361</v>
      </c>
      <c r="S463" s="4">
        <f t="shared" si="385"/>
        <v>1.57045059024885</v>
      </c>
      <c r="T463" s="4" t="str">
        <f t="shared" si="374"/>
        <v>1+27,7668060468033i</v>
      </c>
      <c r="U463" s="4">
        <f t="shared" si="386"/>
        <v>27.7848073241618</v>
      </c>
      <c r="V463" s="4">
        <f t="shared" si="387"/>
        <v>1.53479766014987</v>
      </c>
      <c r="W463" t="str">
        <f t="shared" si="375"/>
        <v>1-14,5651772790151i</v>
      </c>
      <c r="X463" s="4">
        <f t="shared" si="388"/>
        <v>14.5994653727161</v>
      </c>
      <c r="Y463" s="4">
        <f t="shared" si="389"/>
        <v>-1.50224699485051</v>
      </c>
      <c r="Z463" t="str">
        <f t="shared" si="376"/>
        <v>0,351568787980172+4,57057991558103i</v>
      </c>
      <c r="AA463" s="4">
        <f t="shared" si="390"/>
        <v>4.58408130135085</v>
      </c>
      <c r="AB463" s="4">
        <f t="shared" si="391"/>
        <v>1.49402754201016</v>
      </c>
      <c r="AC463" s="67" t="str">
        <f t="shared" si="392"/>
        <v>-2,28077167922029-0,251128789488288i</v>
      </c>
      <c r="AD463" s="68">
        <f t="shared" si="393"/>
        <v>7.21397148247547</v>
      </c>
      <c r="AE463" s="31">
        <f t="shared" si="394"/>
        <v>-173.716647646578</v>
      </c>
      <c r="AF463" s="32" t="str">
        <f t="shared" si="395"/>
        <v>249,914648392112</v>
      </c>
      <c r="AG463" s="32" t="str">
        <f t="shared" si="377"/>
        <v>1+1859,38433349129i</v>
      </c>
      <c r="AH463" s="32">
        <f t="shared" si="396"/>
        <v>1859.38460239748</v>
      </c>
      <c r="AI463" s="32">
        <f t="shared" si="397"/>
        <v>1.57025851442035</v>
      </c>
      <c r="AJ463" s="32" t="str">
        <f t="shared" si="378"/>
        <v>1+27,7668060468033i</v>
      </c>
      <c r="AK463" s="32">
        <f t="shared" si="398"/>
        <v>27.7848073241618</v>
      </c>
      <c r="AL463" s="32">
        <f t="shared" si="399"/>
        <v>1.53479766014987</v>
      </c>
      <c r="AM463" s="32" t="str">
        <f t="shared" si="379"/>
        <v>1-2,80992941857157i</v>
      </c>
      <c r="AN463" s="32">
        <f t="shared" si="400"/>
        <v>2.98256656880512</v>
      </c>
      <c r="AO463" s="32">
        <f t="shared" si="401"/>
        <v>-1.22889210172252</v>
      </c>
      <c r="AP463" s="30" t="str">
        <f t="shared" si="402"/>
        <v>3,36009525128826-10,6194217740219i</v>
      </c>
      <c r="AQ463" s="32">
        <f t="shared" si="403"/>
        <v>20.9364003454985</v>
      </c>
      <c r="AR463" s="31">
        <f t="shared" si="404"/>
        <v>-72.4420881932892</v>
      </c>
      <c r="AS463" t="str">
        <f t="shared" si="380"/>
        <v>-0,000100699300699301</v>
      </c>
      <c r="AT463" t="str">
        <f t="shared" si="381"/>
        <v>0,397908247367137i</v>
      </c>
      <c r="AU463">
        <f t="shared" si="405"/>
        <v>0.397908247367137</v>
      </c>
      <c r="AV463">
        <f t="shared" si="406"/>
        <v>1.5707963267949</v>
      </c>
      <c r="AW463" t="str">
        <f t="shared" si="382"/>
        <v>1+20,3721724291648i</v>
      </c>
      <c r="AX463">
        <f t="shared" si="407"/>
        <v>20.3967009460751</v>
      </c>
      <c r="AY463">
        <f t="shared" si="408"/>
        <v>1.52174912778196</v>
      </c>
      <c r="AZ463" t="str">
        <f t="shared" si="383"/>
        <v>1+973,963222304962i</v>
      </c>
      <c r="BA463">
        <f t="shared" si="409"/>
        <v>973.963735671234</v>
      </c>
      <c r="BB463">
        <f t="shared" si="410"/>
        <v>1.56976959434165</v>
      </c>
      <c r="BC463" s="30" t="str">
        <f t="shared" si="411"/>
        <v>-0,000580077236815162+0,0120705051506582i</v>
      </c>
      <c r="BD463" s="32">
        <f t="shared" si="412"/>
        <v>-38.3554725550112</v>
      </c>
      <c r="BE463" s="31">
        <f t="shared" si="413"/>
        <v>92.7513700641197</v>
      </c>
      <c r="BF463" s="30" t="str">
        <f t="shared" si="414"/>
        <v>0,00435427508048532-0,0273843922072128i</v>
      </c>
      <c r="BG463" s="68">
        <f t="shared" si="415"/>
        <v>-31.1415010725357</v>
      </c>
      <c r="BH463" s="31">
        <f t="shared" si="416"/>
        <v>-80.9652775824585</v>
      </c>
      <c r="BI463" s="30" t="str">
        <f t="shared" si="423"/>
        <v>0,12623267045154+0,0467181318766265i</v>
      </c>
      <c r="BJ463" s="68">
        <f t="shared" si="417"/>
        <v>-17.4190722095127</v>
      </c>
      <c r="BK463" s="31">
        <f t="shared" si="424"/>
        <v>20.3092818708306</v>
      </c>
      <c r="BL463" s="32">
        <f t="shared" si="418"/>
        <v>-31.1415010725357</v>
      </c>
      <c r="BM463" s="31">
        <f t="shared" si="419"/>
        <v>-80.9652775824585</v>
      </c>
      <c r="BO463">
        <f t="shared" si="420"/>
        <v>0</v>
      </c>
      <c r="BP463">
        <f t="shared" si="421"/>
        <v>0</v>
      </c>
    </row>
    <row r="464" spans="14:68">
      <c r="N464" s="7">
        <v>46</v>
      </c>
      <c r="O464" s="18">
        <f t="shared" si="422"/>
        <v>288403.150312661</v>
      </c>
      <c r="P464" s="86" t="str">
        <f t="shared" si="372"/>
        <v>75</v>
      </c>
      <c r="Q464" s="4" t="str">
        <f t="shared" si="373"/>
        <v>1+2959,74771309507i</v>
      </c>
      <c r="R464" s="4">
        <f t="shared" si="384"/>
        <v>2959.74788202838</v>
      </c>
      <c r="S464" s="4">
        <f t="shared" si="385"/>
        <v>1.57045846017284</v>
      </c>
      <c r="T464" s="4" t="str">
        <f t="shared" si="374"/>
        <v>1+28,4135780457127i</v>
      </c>
      <c r="U464" s="4">
        <f t="shared" si="386"/>
        <v>28.4311698204595</v>
      </c>
      <c r="V464" s="4">
        <f t="shared" si="387"/>
        <v>1.53561640605154</v>
      </c>
      <c r="W464" t="str">
        <f t="shared" si="375"/>
        <v>1-14,904443840943i</v>
      </c>
      <c r="X464" s="4">
        <f t="shared" si="388"/>
        <v>14.9379532134702</v>
      </c>
      <c r="Y464" s="4">
        <f t="shared" si="389"/>
        <v>-1.50380264947977</v>
      </c>
      <c r="Z464" t="str">
        <f t="shared" si="376"/>
        <v>0,321009166446792+4,67704239827322i</v>
      </c>
      <c r="AA464" s="4">
        <f t="shared" si="390"/>
        <v>4.68804569945603</v>
      </c>
      <c r="AB464" s="4">
        <f t="shared" si="391"/>
        <v>1.50226872069008</v>
      </c>
      <c r="AC464" s="67" t="str">
        <f t="shared" si="392"/>
        <v>-2,283998071964-0,230731280638029i</v>
      </c>
      <c r="AD464" s="68">
        <f t="shared" si="393"/>
        <v>7.21801065293297</v>
      </c>
      <c r="AE464" s="31">
        <f t="shared" si="394"/>
        <v>-174.231505076558</v>
      </c>
      <c r="AF464" s="32" t="str">
        <f t="shared" si="395"/>
        <v>249,914648392112</v>
      </c>
      <c r="AG464" s="32" t="str">
        <f t="shared" si="377"/>
        <v>1+1902,69495841826i</v>
      </c>
      <c r="AH464" s="32">
        <f t="shared" si="396"/>
        <v>1902.6952212034</v>
      </c>
      <c r="AI464" s="32">
        <f t="shared" si="397"/>
        <v>1.57027075652232</v>
      </c>
      <c r="AJ464" s="32" t="str">
        <f t="shared" si="378"/>
        <v>1+28,4135780457127i</v>
      </c>
      <c r="AK464" s="32">
        <f t="shared" si="398"/>
        <v>28.4311698204595</v>
      </c>
      <c r="AL464" s="32">
        <f t="shared" si="399"/>
        <v>1.53561640605154</v>
      </c>
      <c r="AM464" s="32" t="str">
        <f t="shared" si="379"/>
        <v>1-2,87538108282782i</v>
      </c>
      <c r="AN464" s="32">
        <f t="shared" si="400"/>
        <v>3.04430884955585</v>
      </c>
      <c r="AO464" s="32">
        <f t="shared" si="401"/>
        <v>-1.23610061328482</v>
      </c>
      <c r="AP464" s="30" t="str">
        <f t="shared" si="402"/>
        <v>3,3600920416312-10,8606728851204i</v>
      </c>
      <c r="AQ464" s="32">
        <f t="shared" si="403"/>
        <v>21.114118491336</v>
      </c>
      <c r="AR464" s="31">
        <f t="shared" si="404"/>
        <v>-72.8088962184957</v>
      </c>
      <c r="AS464" t="str">
        <f t="shared" si="380"/>
        <v>-0,000100699300699301</v>
      </c>
      <c r="AT464" t="str">
        <f t="shared" si="381"/>
        <v>0,407176721101507i</v>
      </c>
      <c r="AU464">
        <f t="shared" si="405"/>
        <v>0.407176721101507</v>
      </c>
      <c r="AV464">
        <f t="shared" si="406"/>
        <v>1.5707963267949</v>
      </c>
      <c r="AW464" t="str">
        <f t="shared" si="382"/>
        <v>1+20,8467012842995i</v>
      </c>
      <c r="AX464">
        <f t="shared" si="407"/>
        <v>20.8706721127235</v>
      </c>
      <c r="AY464">
        <f t="shared" si="408"/>
        <v>1.52286384921763</v>
      </c>
      <c r="AZ464" t="str">
        <f t="shared" si="383"/>
        <v>1+996,64974012385i</v>
      </c>
      <c r="BA464">
        <f t="shared" si="409"/>
        <v>996.650241804485</v>
      </c>
      <c r="BB464">
        <f t="shared" si="410"/>
        <v>1.56979296560975</v>
      </c>
      <c r="BC464" s="30" t="str">
        <f t="shared" si="411"/>
        <v>-0,000554029397755893+0,0117969964034841i</v>
      </c>
      <c r="BD464" s="32">
        <f t="shared" si="412"/>
        <v>-38.5550028972434</v>
      </c>
      <c r="BE464" s="31">
        <f t="shared" si="413"/>
        <v>92.688840305547</v>
      </c>
      <c r="BF464" s="30" t="str">
        <f t="shared" si="414"/>
        <v>0,00398733816414394-0,0268164851280686i</v>
      </c>
      <c r="BG464" s="68">
        <f t="shared" si="415"/>
        <v>-31.3369922443105</v>
      </c>
      <c r="BH464" s="31">
        <f t="shared" si="416"/>
        <v>-81.5426647710112</v>
      </c>
      <c r="BI464" s="30" t="str">
        <f t="shared" si="423"/>
        <v>0,126261729194953+0,0456561257882658i</v>
      </c>
      <c r="BJ464" s="68">
        <f t="shared" si="417"/>
        <v>-17.4408844059074</v>
      </c>
      <c r="BK464" s="31">
        <f t="shared" si="424"/>
        <v>19.8799440870513</v>
      </c>
      <c r="BL464" s="32">
        <f t="shared" si="418"/>
        <v>-31.3369922443105</v>
      </c>
      <c r="BM464" s="31">
        <f t="shared" si="419"/>
        <v>-81.5426647710112</v>
      </c>
      <c r="BO464">
        <f t="shared" si="420"/>
        <v>0</v>
      </c>
      <c r="BP464">
        <f t="shared" si="421"/>
        <v>0</v>
      </c>
    </row>
    <row r="465" spans="14:68">
      <c r="N465" s="7">
        <v>47</v>
      </c>
      <c r="O465" s="18">
        <f t="shared" si="422"/>
        <v>295120.922666639</v>
      </c>
      <c r="P465" s="86" t="str">
        <f t="shared" si="372"/>
        <v>75</v>
      </c>
      <c r="Q465" s="4" t="str">
        <f t="shared" si="373"/>
        <v>1+3028,68909372917i</v>
      </c>
      <c r="R465" s="4">
        <f t="shared" si="384"/>
        <v>3028.68925881709</v>
      </c>
      <c r="S465" s="4">
        <f t="shared" si="385"/>
        <v>1.57046615095554</v>
      </c>
      <c r="T465" s="4" t="str">
        <f t="shared" si="374"/>
        <v>1+29,0754152998001i</v>
      </c>
      <c r="U465" s="4">
        <f t="shared" si="386"/>
        <v>29.0926068762469</v>
      </c>
      <c r="V465" s="4">
        <f t="shared" si="387"/>
        <v>1.53641656061776</v>
      </c>
      <c r="W465" t="str">
        <f t="shared" si="375"/>
        <v>1-15,2516129362791i</v>
      </c>
      <c r="X465" s="4">
        <f t="shared" si="388"/>
        <v>15.2843611956168</v>
      </c>
      <c r="Y465" s="4">
        <f t="shared" si="389"/>
        <v>-1.5053232069458</v>
      </c>
      <c r="Z465" t="str">
        <f t="shared" si="376"/>
        <v>0,289009314321561+4,78598471075296i</v>
      </c>
      <c r="AA465" s="4">
        <f t="shared" si="390"/>
        <v>4.79470291418829</v>
      </c>
      <c r="AB465" s="4">
        <f t="shared" si="391"/>
        <v>1.51048297361172</v>
      </c>
      <c r="AC465" s="67" t="str">
        <f t="shared" si="392"/>
        <v>-2,28688733059515-0,210382414810717i</v>
      </c>
      <c r="AD465" s="68">
        <f t="shared" si="393"/>
        <v>7.22149547692522</v>
      </c>
      <c r="AE465" s="31">
        <f t="shared" si="394"/>
        <v>-174.743863795919</v>
      </c>
      <c r="AF465" s="32" t="str">
        <f t="shared" si="395"/>
        <v>249,914648392112</v>
      </c>
      <c r="AG465" s="32" t="str">
        <f t="shared" si="377"/>
        <v>1+1947,01441739732i</v>
      </c>
      <c r="AH465" s="32">
        <f t="shared" si="396"/>
        <v>1947.01467420074</v>
      </c>
      <c r="AI465" s="32">
        <f t="shared" si="397"/>
        <v>1.57028271996018</v>
      </c>
      <c r="AJ465" s="32" t="str">
        <f t="shared" si="378"/>
        <v>1+29,0754152998001i</v>
      </c>
      <c r="AK465" s="32">
        <f t="shared" si="398"/>
        <v>29.0926068762469</v>
      </c>
      <c r="AL465" s="32">
        <f t="shared" si="399"/>
        <v>1.53641656061776</v>
      </c>
      <c r="AM465" s="32" t="str">
        <f t="shared" si="379"/>
        <v>1-2,94235731219435i</v>
      </c>
      <c r="AN465" s="32">
        <f t="shared" si="400"/>
        <v>3.10764646519252</v>
      </c>
      <c r="AO465" s="32">
        <f t="shared" si="401"/>
        <v>-1.24318013641865</v>
      </c>
      <c r="AP465" s="30" t="str">
        <f t="shared" si="402"/>
        <v>3,36008897643244-11,1076824685887i</v>
      </c>
      <c r="AQ465" s="32">
        <f t="shared" si="403"/>
        <v>21.2927346501785</v>
      </c>
      <c r="AR465" s="31">
        <f t="shared" si="404"/>
        <v>-73.1693629899244</v>
      </c>
      <c r="AS465" t="str">
        <f t="shared" si="380"/>
        <v>-0,000100699300699301</v>
      </c>
      <c r="AT465" t="str">
        <f t="shared" si="381"/>
        <v>0,416661085323027i</v>
      </c>
      <c r="AU465">
        <f t="shared" si="405"/>
        <v>0.416661085323027</v>
      </c>
      <c r="AV465">
        <f t="shared" si="406"/>
        <v>1.5707963267949</v>
      </c>
      <c r="AW465" t="str">
        <f t="shared" si="382"/>
        <v>1+21,3322833363939i</v>
      </c>
      <c r="AX465">
        <f t="shared" si="407"/>
        <v>21.3557091276358</v>
      </c>
      <c r="AY465">
        <f t="shared" si="408"/>
        <v>1.52395331170193</v>
      </c>
      <c r="AZ465" t="str">
        <f t="shared" si="383"/>
        <v>1+1019,86469482717i</v>
      </c>
      <c r="BA465">
        <f t="shared" si="409"/>
        <v>1019.86518508816</v>
      </c>
      <c r="BB465">
        <f t="shared" si="410"/>
        <v>1.5698158048839</v>
      </c>
      <c r="BC465" s="30" t="str">
        <f t="shared" si="411"/>
        <v>-0,000529148642305398+0,011529630323784i</v>
      </c>
      <c r="BD465" s="32">
        <f t="shared" si="412"/>
        <v>-38.754554330098</v>
      </c>
      <c r="BE465" s="31">
        <f t="shared" si="413"/>
        <v>92.6277272972746</v>
      </c>
      <c r="BF465" s="30" t="str">
        <f t="shared" si="414"/>
        <v>0,00363573479548239-0,0262556419447453i</v>
      </c>
      <c r="BG465" s="68">
        <f t="shared" si="415"/>
        <v>-31.5330588531728</v>
      </c>
      <c r="BH465" s="31">
        <f t="shared" si="416"/>
        <v>-82.1161364986443</v>
      </c>
      <c r="BI465" s="30" t="str">
        <f t="shared" si="423"/>
        <v>0,1262894860969+0,044618198850701i</v>
      </c>
      <c r="BJ465" s="68">
        <f t="shared" si="417"/>
        <v>-17.4618196799194</v>
      </c>
      <c r="BK465" s="31">
        <f t="shared" si="424"/>
        <v>19.4583643073503</v>
      </c>
      <c r="BL465" s="32">
        <f t="shared" si="418"/>
        <v>-31.5330588531728</v>
      </c>
      <c r="BM465" s="31">
        <f t="shared" si="419"/>
        <v>-82.1161364986443</v>
      </c>
      <c r="BO465">
        <f t="shared" si="420"/>
        <v>0</v>
      </c>
      <c r="BP465">
        <f t="shared" si="421"/>
        <v>0</v>
      </c>
    </row>
    <row r="466" spans="14:68">
      <c r="N466" s="7">
        <v>48</v>
      </c>
      <c r="O466" s="18">
        <f t="shared" si="422"/>
        <v>301995.172040202</v>
      </c>
      <c r="P466" s="86" t="str">
        <f t="shared" si="372"/>
        <v>75</v>
      </c>
      <c r="Q466" s="4" t="str">
        <f t="shared" si="373"/>
        <v>1+3099,23632541021i</v>
      </c>
      <c r="R466" s="4">
        <f t="shared" si="384"/>
        <v>3099.23648674027</v>
      </c>
      <c r="S466" s="4">
        <f t="shared" si="385"/>
        <v>1.57047366667469</v>
      </c>
      <c r="T466" s="4" t="str">
        <f t="shared" si="374"/>
        <v>1+29,752668723938i</v>
      </c>
      <c r="U466" s="4">
        <f t="shared" si="386"/>
        <v>29.7694691957448</v>
      </c>
      <c r="V466" s="4">
        <f t="shared" si="387"/>
        <v>1.53719854400035</v>
      </c>
      <c r="W466" t="str">
        <f t="shared" si="375"/>
        <v>1-15,6068686386729i</v>
      </c>
      <c r="X466" s="4">
        <f t="shared" si="388"/>
        <v>15.6388729998294</v>
      </c>
      <c r="Y466" s="4">
        <f t="shared" si="389"/>
        <v>-1.50680944532708</v>
      </c>
      <c r="Z466" t="str">
        <f t="shared" si="376"/>
        <v>0,255501355627822+4,89746461567634i</v>
      </c>
      <c r="AA466" s="4">
        <f t="shared" si="390"/>
        <v>4.90412485613177</v>
      </c>
      <c r="AB466" s="4">
        <f t="shared" si="391"/>
        <v>1.51867345256851</v>
      </c>
      <c r="AC466" s="67" t="str">
        <f t="shared" si="392"/>
        <v>-2,28944330364418-0,190080144691873i</v>
      </c>
      <c r="AD466" s="68">
        <f t="shared" si="393"/>
        <v>7.22443144917249</v>
      </c>
      <c r="AE466" s="31">
        <f t="shared" si="394"/>
        <v>-175.253925130446</v>
      </c>
      <c r="AF466" s="32" t="str">
        <f t="shared" si="395"/>
        <v>249,914648392112</v>
      </c>
      <c r="AG466" s="32" t="str">
        <f t="shared" si="377"/>
        <v>1+1992,36620919228i</v>
      </c>
      <c r="AH466" s="32">
        <f t="shared" si="396"/>
        <v>1992.36646015014</v>
      </c>
      <c r="AI466" s="32">
        <f t="shared" si="397"/>
        <v>1.57029441107709</v>
      </c>
      <c r="AJ466" s="32" t="str">
        <f t="shared" si="378"/>
        <v>1+29,752668723938i</v>
      </c>
      <c r="AK466" s="32">
        <f t="shared" si="398"/>
        <v>29.7694691957448</v>
      </c>
      <c r="AL466" s="32">
        <f t="shared" si="399"/>
        <v>1.53719854400035</v>
      </c>
      <c r="AM466" s="32" t="str">
        <f t="shared" si="379"/>
        <v>1-3,01089361835452i</v>
      </c>
      <c r="AN466" s="32">
        <f t="shared" si="400"/>
        <v>3.172614124196</v>
      </c>
      <c r="AO466" s="32">
        <f t="shared" si="401"/>
        <v>-1.25013158527626</v>
      </c>
      <c r="AP466" s="30" t="str">
        <f t="shared" si="402"/>
        <v>3,36008604919024-11,3605814921877i</v>
      </c>
      <c r="AQ466" s="32">
        <f t="shared" si="403"/>
        <v>21.472216693359</v>
      </c>
      <c r="AR466" s="31">
        <f t="shared" si="404"/>
        <v>-73.5235171751516</v>
      </c>
      <c r="AS466" t="str">
        <f t="shared" si="380"/>
        <v>-0,000100699300699301</v>
      </c>
      <c r="AT466" t="str">
        <f t="shared" si="381"/>
        <v>0,426366368767147i</v>
      </c>
      <c r="AU466">
        <f t="shared" si="405"/>
        <v>0.426366368767147</v>
      </c>
      <c r="AV466">
        <f t="shared" si="406"/>
        <v>1.5707963267949</v>
      </c>
      <c r="AW466" t="str">
        <f t="shared" si="382"/>
        <v>1+21,8291760474794i</v>
      </c>
      <c r="AX466">
        <f t="shared" si="407"/>
        <v>21.8520691677436</v>
      </c>
      <c r="AY466">
        <f t="shared" si="408"/>
        <v>1.52501808253149</v>
      </c>
      <c r="AZ466" t="str">
        <f t="shared" si="383"/>
        <v>1+1043,62039529119i</v>
      </c>
      <c r="BA466">
        <f t="shared" si="409"/>
        <v>1043.62087439249</v>
      </c>
      <c r="BB466">
        <f t="shared" si="410"/>
        <v>1.56983812427369</v>
      </c>
      <c r="BC466" s="30" t="str">
        <f t="shared" si="411"/>
        <v>-0,000505382904581988+0,0112682726106359i</v>
      </c>
      <c r="BD466" s="32">
        <f t="shared" si="412"/>
        <v>-38.9541259085076</v>
      </c>
      <c r="BE466" s="31">
        <f t="shared" si="413"/>
        <v>92.5679992294282</v>
      </c>
      <c r="BF466" s="30" t="str">
        <f t="shared" si="414"/>
        <v>0,00329892039492862-0,0257020080164297i</v>
      </c>
      <c r="BG466" s="68">
        <f t="shared" si="415"/>
        <v>-31.7296944593351</v>
      </c>
      <c r="BH466" s="31">
        <f t="shared" si="416"/>
        <v>-82.6859259010182</v>
      </c>
      <c r="BI466" s="30" t="str">
        <f t="shared" si="423"/>
        <v>0,126315999222131+0,0436038092697324i</v>
      </c>
      <c r="BJ466" s="68">
        <f t="shared" si="417"/>
        <v>-17.4819092151486</v>
      </c>
      <c r="BK466" s="31">
        <f t="shared" si="424"/>
        <v>19.0444820542766</v>
      </c>
      <c r="BL466" s="32">
        <f t="shared" si="418"/>
        <v>-31.7296944593351</v>
      </c>
      <c r="BM466" s="31">
        <f t="shared" si="419"/>
        <v>-82.6859259010182</v>
      </c>
      <c r="BO466">
        <f t="shared" si="420"/>
        <v>0</v>
      </c>
      <c r="BP466">
        <f t="shared" si="421"/>
        <v>0</v>
      </c>
    </row>
    <row r="467" spans="14:68">
      <c r="N467" s="7">
        <v>49</v>
      </c>
      <c r="O467" s="18">
        <f t="shared" si="422"/>
        <v>309029.543251359</v>
      </c>
      <c r="P467" s="86" t="str">
        <f t="shared" ref="P467:P530" si="425">COMPLEX(Adc,0)</f>
        <v>75</v>
      </c>
      <c r="Q467" s="4" t="str">
        <f t="shared" ref="Q467:Q530" si="426">IMSUM(COMPLEX(1,0),IMDIV(COMPLEX(0,2*PI()*O467),COMPLEX(wp_lf,0)))</f>
        <v>1+3171,42681321422i</v>
      </c>
      <c r="R467" s="4">
        <f t="shared" si="384"/>
        <v>3171.42697087196</v>
      </c>
      <c r="S467" s="4">
        <f t="shared" si="385"/>
        <v>1.57048101131522</v>
      </c>
      <c r="T467" s="4" t="str">
        <f t="shared" ref="T467:T530" si="427">IMSUM(COMPLEX(1,0),IMDIV(COMPLEX(0,2*PI()*O467),COMPLEX(wz_esr,0)))</f>
        <v>1+30,4456974068565i</v>
      </c>
      <c r="U467" s="4">
        <f t="shared" si="386"/>
        <v>30.4621156617506</v>
      </c>
      <c r="V467" s="4">
        <f t="shared" si="387"/>
        <v>1.53796276698962</v>
      </c>
      <c r="W467" t="str">
        <f t="shared" ref="W467:W530" si="428">IMSUB(COMPLEX(1,0),IMDIV(COMPLEX(0,2*PI()*O467),COMPLEX(wz_rhp,0)))</f>
        <v>1-15,9703993094002i</v>
      </c>
      <c r="X467" s="4">
        <f t="shared" si="388"/>
        <v>16.0016766028342</v>
      </c>
      <c r="Y467" s="4">
        <f t="shared" si="389"/>
        <v>-1.50826212636839</v>
      </c>
      <c r="Z467" t="str">
        <f t="shared" ref="Z467:Z530" si="429">IMSUM(COMPLEX(1,0),IMDIV(COMPLEX(0,2*PI()*O467),COMPLEX(Q*(wsl/2),0)),IMDIV(IMPOWER(COMPLEX(0,2*PI()*O467),2),IMPOWER(COMPLEX(wsl/2,0),2)))</f>
        <v>0,220414215492699+5,01154122116454i</v>
      </c>
      <c r="AA467" s="4">
        <f t="shared" si="390"/>
        <v>5.01638593389929</v>
      </c>
      <c r="AB467" s="4">
        <f t="shared" si="391"/>
        <v>1.52684332898893</v>
      </c>
      <c r="AC467" s="67" t="str">
        <f t="shared" si="392"/>
        <v>-2,29166943663084-0,169822226084812i</v>
      </c>
      <c r="AD467" s="68">
        <f t="shared" si="393"/>
        <v>7.22682316961364</v>
      </c>
      <c r="AE467" s="31">
        <f t="shared" si="394"/>
        <v>-175.761891126139</v>
      </c>
      <c r="AF467" s="32" t="str">
        <f t="shared" si="395"/>
        <v>249,914648392112</v>
      </c>
      <c r="AG467" s="32" t="str">
        <f t="shared" ref="AG467:AG530" si="430">IMSUM(COMPLEX(1,0),IMDIV(COMPLEX(0,2*PI()*O467),COMPLEX(wp_lf_DCM,0)))</f>
        <v>1+2038,77437992343i</v>
      </c>
      <c r="AH467" s="32">
        <f t="shared" si="396"/>
        <v>2038.7746251688</v>
      </c>
      <c r="AI467" s="32">
        <f t="shared" si="397"/>
        <v>1.57030583607182</v>
      </c>
      <c r="AJ467" s="32" t="str">
        <f t="shared" ref="AJ467:AJ530" si="431">IMSUM(COMPLEX(1,0),IMDIV(COMPLEX(0,2*PI()*O467),COMPLEX(wz1_dcm,0)))</f>
        <v>1+30,4456974068565i</v>
      </c>
      <c r="AK467" s="32">
        <f t="shared" si="398"/>
        <v>30.4621156617506</v>
      </c>
      <c r="AL467" s="32">
        <f t="shared" si="399"/>
        <v>1.53796276698962</v>
      </c>
      <c r="AM467" s="32" t="str">
        <f t="shared" ref="AM467:AM530" si="432">IMSUB(COMPLEX(1,0),IMDIV(COMPLEX(0,2*PI()*O467),COMPLEX(wz2_dcm,0)))</f>
        <v>1-3,08102634016502i</v>
      </c>
      <c r="AN467" s="32">
        <f t="shared" si="400"/>
        <v>3.23924733677295</v>
      </c>
      <c r="AO467" s="32">
        <f t="shared" si="401"/>
        <v>-1.25695595741477</v>
      </c>
      <c r="AP467" s="30" t="str">
        <f t="shared" si="402"/>
        <v>3,36008325369559-11,6195040463366i</v>
      </c>
      <c r="AQ467" s="32">
        <f t="shared" si="403"/>
        <v>21.6525333179326</v>
      </c>
      <c r="AR467" s="31">
        <f t="shared" si="404"/>
        <v>-73.8713927486017</v>
      </c>
      <c r="AS467" t="str">
        <f t="shared" ref="AS467:AS530" si="433">COMPLEX(Adc_ea,0)</f>
        <v>-0,000100699300699301</v>
      </c>
      <c r="AT467" t="str">
        <f t="shared" ref="AT467:AT530" si="434">COMPLEX(0,2*PI()*O467*wp0_ea)</f>
        <v>0,436297717303613i</v>
      </c>
      <c r="AU467">
        <f t="shared" si="405"/>
        <v>0.436297717303613</v>
      </c>
      <c r="AV467">
        <f t="shared" si="406"/>
        <v>1.5707963267949</v>
      </c>
      <c r="AW467" t="str">
        <f t="shared" ref="AW467:AW530" si="435">IMSUM(COMPLEX(1,0),IMDIV(COMPLEX(0,2*PI()*O467),COMPLEX(wp1_ea,0)))</f>
        <v>1+22,3376428766485i</v>
      </c>
      <c r="AX467">
        <f t="shared" si="407"/>
        <v>22.3600154133374</v>
      </c>
      <c r="AY467">
        <f t="shared" si="408"/>
        <v>1.52605871659905</v>
      </c>
      <c r="AZ467" t="str">
        <f t="shared" ref="AZ467:AZ530" si="436">IMSUM(COMPLEX(1,0),IMDIV(COMPLEX(0,2*PI()*O467),COMPLEX(wz_ea,0)))</f>
        <v>1+1067,92943710275i</v>
      </c>
      <c r="BA467">
        <f t="shared" si="409"/>
        <v>1067.92990529837</v>
      </c>
      <c r="BB467">
        <f t="shared" si="410"/>
        <v>1.56985993561306</v>
      </c>
      <c r="BC467" s="30" t="str">
        <f t="shared" si="411"/>
        <v>-0,000482682421636348+0,0110127916544262i</v>
      </c>
      <c r="BD467" s="32">
        <f t="shared" si="412"/>
        <v>-39.1537167295742</v>
      </c>
      <c r="BE467" s="31">
        <f t="shared" si="413"/>
        <v>92.5096249870311</v>
      </c>
      <c r="BF467" s="30" t="str">
        <f t="shared" si="414"/>
        <v>0,00297636534742588-0,0251557078430974i</v>
      </c>
      <c r="BG467" s="68">
        <f t="shared" si="415"/>
        <v>-31.9268935599605</v>
      </c>
      <c r="BH467" s="31">
        <f t="shared" si="416"/>
        <v>-83.2522661391077</v>
      </c>
      <c r="BI467" s="30" t="str">
        <f t="shared" si="423"/>
        <v>0,126341324068274+0,0426124271657751i</v>
      </c>
      <c r="BJ467" s="68">
        <f t="shared" si="417"/>
        <v>-17.5011834116415</v>
      </c>
      <c r="BK467" s="31">
        <f t="shared" si="424"/>
        <v>18.6382322384293</v>
      </c>
      <c r="BL467" s="32">
        <f t="shared" si="418"/>
        <v>-31.9268935599605</v>
      </c>
      <c r="BM467" s="31">
        <f t="shared" si="419"/>
        <v>-83.2522661391077</v>
      </c>
      <c r="BO467">
        <f t="shared" si="420"/>
        <v>0</v>
      </c>
      <c r="BP467">
        <f t="shared" si="421"/>
        <v>0</v>
      </c>
    </row>
    <row r="468" spans="14:68">
      <c r="N468" s="7">
        <v>50</v>
      </c>
      <c r="O468" s="18">
        <f t="shared" si="422"/>
        <v>316227.766016838</v>
      </c>
      <c r="P468" s="86" t="str">
        <f t="shared" si="425"/>
        <v>75</v>
      </c>
      <c r="Q468" s="4" t="str">
        <f t="shared" si="426"/>
        <v>1+3245,29883349339i</v>
      </c>
      <c r="R468" s="4">
        <f t="shared" ref="R468:R531" si="437">IMABS(Q468)</f>
        <v>3245.2989875624</v>
      </c>
      <c r="S468" s="4">
        <f t="shared" ref="S468:S531" si="438">IMARGUMENT(Q468)</f>
        <v>1.57048818877136</v>
      </c>
      <c r="T468" s="4" t="str">
        <f t="shared" si="427"/>
        <v>1+31,1548688015366i</v>
      </c>
      <c r="U468" s="4">
        <f t="shared" ref="U468:U531" si="439">IMABS(T468)</f>
        <v>31.1709135259292</v>
      </c>
      <c r="V468" s="4">
        <f t="shared" ref="V468:V531" si="440">IMARGUMENT(T468)</f>
        <v>1.53870963121399</v>
      </c>
      <c r="W468" t="str">
        <f t="shared" si="428"/>
        <v>1-16,3423976972346i</v>
      </c>
      <c r="X468" s="4">
        <f t="shared" ref="X468:X531" si="441">IMABS(W468)</f>
        <v>16.3729643771242</v>
      </c>
      <c r="Y468" s="4">
        <f t="shared" ref="Y468:Y531" si="442">IMARGUMENT(W468)</f>
        <v>-1.50968199576209</v>
      </c>
      <c r="Z468" t="str">
        <f t="shared" si="429"/>
        <v>0,183673469387751+5,12827501214381i</v>
      </c>
      <c r="AA468" s="4">
        <f t="shared" ref="AA468:AA531" si="443">IMABS(Z468)</f>
        <v>5.13156316764546</v>
      </c>
      <c r="AB468" s="4">
        <f t="shared" ref="AB468:AB531" si="444">IMARGUMENT(Z468)</f>
        <v>1.53499579110914</v>
      </c>
      <c r="AC468" s="67" t="str">
        <f t="shared" ref="AC468:AC531" si="445">(IMDIV(IMPRODUCT(P468,T468,W468),IMPRODUCT(Q468,Z468)))</f>
        <v>-2,29356876670625-0,149606244211011i</v>
      </c>
      <c r="AD468" s="68">
        <f t="shared" ref="AD468:AD531" si="446">20*LOG(IMABS(AC468))</f>
        <v>7.22867434168176</v>
      </c>
      <c r="AE468" s="31">
        <f t="shared" ref="AE468:AE531" si="447">(180/PI())*IMARGUMENT(AC468)</f>
        <v>-176.267964392004</v>
      </c>
      <c r="AF468" s="32" t="str">
        <f t="shared" ref="AF468:AF531" si="448">COMPLEX($B$68,0)</f>
        <v>249,914648392112</v>
      </c>
      <c r="AG468" s="32" t="str">
        <f t="shared" si="430"/>
        <v>1+2086,26353581718i</v>
      </c>
      <c r="AH468" s="32">
        <f t="shared" ref="AH468:AH531" si="449">IMABS(AG468)</f>
        <v>2086.26377548008</v>
      </c>
      <c r="AI468" s="32">
        <f t="shared" ref="AI468:AI531" si="450">IMARGUMENT(AG468)</f>
        <v>1.57031700100204</v>
      </c>
      <c r="AJ468" s="32" t="str">
        <f t="shared" si="431"/>
        <v>1+31,1548688015366i</v>
      </c>
      <c r="AK468" s="32">
        <f t="shared" ref="AK468:AK531" si="451">IMABS(AJ468)</f>
        <v>31.1709135259292</v>
      </c>
      <c r="AL468" s="32">
        <f t="shared" ref="AL468:AL531" si="452">IMARGUMENT(AJ468)</f>
        <v>1.53870963121399</v>
      </c>
      <c r="AM468" s="32" t="str">
        <f t="shared" si="432"/>
        <v>1-3,15279266292328i</v>
      </c>
      <c r="AN468" s="32">
        <f t="shared" ref="AN468:AN531" si="453">IMABS(AM468)</f>
        <v>3.30758243667227</v>
      </c>
      <c r="AO468" s="32">
        <f t="shared" ref="AO468:AO531" si="454">IMARGUMENT(AM468)</f>
        <v>-1.26365432773806</v>
      </c>
      <c r="AP468" s="30" t="str">
        <f t="shared" ref="AP468:AP531" si="455">(IMDIV(IMPRODUCT(AF468,AJ468,AM468),IMPRODUCT(AG468)))</f>
        <v>3,36008058401889-11,8845874152097i</v>
      </c>
      <c r="AQ468" s="32">
        <f t="shared" ref="AQ468:AQ531" si="456">20*LOG(IMABS(AP468))</f>
        <v>21.8336540518218</v>
      </c>
      <c r="AR468" s="31">
        <f t="shared" ref="AR468:AR531" si="457">(180/PI())*IMARGUMENT(AP468)</f>
        <v>-74.2130286331967</v>
      </c>
      <c r="AS468" t="str">
        <f t="shared" si="433"/>
        <v>-0,000100699300699301</v>
      </c>
      <c r="AT468" t="str">
        <f t="shared" si="434"/>
        <v>0,446460396664877i</v>
      </c>
      <c r="AU468">
        <f t="shared" ref="AU468:AU531" si="458">IMABS(AT468)</f>
        <v>0.446460396664877</v>
      </c>
      <c r="AV468">
        <f t="shared" ref="AV468:AV531" si="459">IMARGUMENT(AT468)</f>
        <v>1.5707963267949</v>
      </c>
      <c r="AW468" t="str">
        <f t="shared" si="435"/>
        <v>1+22,8579534197445i</v>
      </c>
      <c r="AX468">
        <f t="shared" ref="AX468:AX531" si="460">IMABS(AW468)</f>
        <v>22.8798171876265</v>
      </c>
      <c r="AY468">
        <f t="shared" ref="AY468:AY531" si="461">IMARGUMENT(AW468)</f>
        <v>1.52707575664205</v>
      </c>
      <c r="AZ468" t="str">
        <f t="shared" si="436"/>
        <v>1+1092,80470923757i</v>
      </c>
      <c r="BA468">
        <f t="shared" ref="BA468:BA531" si="462">IMABS(AZ468)</f>
        <v>1092.80516677577</v>
      </c>
      <c r="BB468">
        <f t="shared" ref="BB468:BB531" si="463">IMARGUMENT(AZ468)</f>
        <v>1.5698812504666</v>
      </c>
      <c r="BC468" s="30" t="str">
        <f t="shared" ref="BC468:BC531" si="464">IMPRODUCT(AS468,IMDIV(AZ468,IMPRODUCT(AT468,AW468)))</f>
        <v>-0,000460999633334213+0,0107630584996861i</v>
      </c>
      <c r="BD468" s="32">
        <f t="shared" ref="BD468:BD531" si="465">20*LOG(IMABS(BC468))</f>
        <v>-39.3533259307036</v>
      </c>
      <c r="BE468" s="31">
        <f t="shared" ref="BE468:BE531" si="466">(180/PI())*IMARGUMENT(BC468)</f>
        <v>92.4525741361198</v>
      </c>
      <c r="BF468" s="30" t="str">
        <f t="shared" ref="BF468:BF531" si="467">IMPRODUCT(AC468,BC468)</f>
        <v>0,00266755511883982-0,0246168463853865i</v>
      </c>
      <c r="BG468" s="68">
        <f t="shared" ref="BG468:BG531" si="468">20*LOG(IMABS(BF468))</f>
        <v>-32.1246515890218</v>
      </c>
      <c r="BH468" s="31">
        <f t="shared" ref="BH468:BH531" si="469">(180/PI())*IMARGUMENT(BF468)</f>
        <v>-83.8153902558842</v>
      </c>
      <c r="BI468" s="30" t="str">
        <f t="shared" si="423"/>
        <v>0,126365513677329+0,0416435343301948i</v>
      </c>
      <c r="BJ468" s="68">
        <f t="shared" ref="BJ468:BJ531" si="470">20*LOG(IMABS(BI468))</f>
        <v>-17.5196718788817</v>
      </c>
      <c r="BK468" s="31">
        <f t="shared" si="424"/>
        <v>18.2395455029231</v>
      </c>
      <c r="BL468" s="32">
        <f t="shared" ref="BL468:BL531" si="471">IF($B$31=0,BJ468,BG468)</f>
        <v>-32.1246515890218</v>
      </c>
      <c r="BM468" s="31">
        <f t="shared" ref="BM468:BM531" si="472">IF($B$31=0,BK468,BH468)</f>
        <v>-83.8153902558842</v>
      </c>
      <c r="BO468">
        <f t="shared" ref="BO468:BO531" si="473">SUM((BL469&lt;0)*(BL468&gt;0))*O468</f>
        <v>0</v>
      </c>
      <c r="BP468">
        <f t="shared" ref="BP468:BP531" si="474">IF(BO468&gt;0,BM468,0)</f>
        <v>0</v>
      </c>
    </row>
    <row r="469" spans="14:68">
      <c r="N469" s="7">
        <v>51</v>
      </c>
      <c r="O469" s="18">
        <f t="shared" si="422"/>
        <v>323593.656929628</v>
      </c>
      <c r="P469" s="86" t="str">
        <f t="shared" si="425"/>
        <v>75</v>
      </c>
      <c r="Q469" s="4" t="str">
        <f t="shared" si="426"/>
        <v>1+3320,89155417069i</v>
      </c>
      <c r="R469" s="4">
        <f t="shared" si="437"/>
        <v>3320.89170473266</v>
      </c>
      <c r="S469" s="4">
        <f t="shared" si="438"/>
        <v>1.57049520284867</v>
      </c>
      <c r="T469" s="4" t="str">
        <f t="shared" si="427"/>
        <v>1+31,8805589200387i</v>
      </c>
      <c r="U469" s="4">
        <f t="shared" si="439"/>
        <v>31.8962386035416</v>
      </c>
      <c r="V469" s="4">
        <f t="shared" si="440"/>
        <v>1.53943952933601</v>
      </c>
      <c r="W469" t="str">
        <f t="shared" si="428"/>
        <v>1-16,7230610406453i</v>
      </c>
      <c r="X469" s="4">
        <f t="shared" si="441"/>
        <v>16.7529331930008</v>
      </c>
      <c r="Y469" s="4">
        <f t="shared" si="442"/>
        <v>-1.51106978342882</v>
      </c>
      <c r="Z469" t="str">
        <f t="shared" si="429"/>
        <v>0,145201185264569+5,24772788241525i</v>
      </c>
      <c r="AA469" s="4">
        <f t="shared" si="443"/>
        <v>5.24973630881406</v>
      </c>
      <c r="AB469" s="4">
        <f t="shared" si="444"/>
        <v>1.54313404122168</v>
      </c>
      <c r="AC469" s="67" t="str">
        <f t="shared" si="445"/>
        <v>-2,29514391822031-0,129429639771267i</v>
      </c>
      <c r="AD469" s="68">
        <f t="shared" si="446"/>
        <v>7.22998777046507</v>
      </c>
      <c r="AE469" s="31">
        <f t="shared" si="447"/>
        <v>-176.7723479474</v>
      </c>
      <c r="AF469" s="32" t="str">
        <f t="shared" si="448"/>
        <v>249,914648392112</v>
      </c>
      <c r="AG469" s="32" t="str">
        <f t="shared" si="430"/>
        <v>1+2134,85885625259i</v>
      </c>
      <c r="AH469" s="32">
        <f t="shared" si="449"/>
        <v>2134.8590904601</v>
      </c>
      <c r="AI469" s="32">
        <f t="shared" si="450"/>
        <v>1.57032791178754</v>
      </c>
      <c r="AJ469" s="32" t="str">
        <f t="shared" si="431"/>
        <v>1+31,8805589200387i</v>
      </c>
      <c r="AK469" s="32">
        <f t="shared" si="451"/>
        <v>31.8962386035416</v>
      </c>
      <c r="AL469" s="32">
        <f t="shared" si="452"/>
        <v>1.53943952933601</v>
      </c>
      <c r="AM469" s="32" t="str">
        <f t="shared" si="432"/>
        <v>1-3,22623063808357i</v>
      </c>
      <c r="AN469" s="32">
        <f t="shared" si="453"/>
        <v>3.37765660334338</v>
      </c>
      <c r="AO469" s="32">
        <f t="shared" si="454"/>
        <v>-1.27022784262054</v>
      </c>
      <c r="AP469" s="30" t="str">
        <f t="shared" si="455"/>
        <v>3,36007803449736-12,1559721495263i</v>
      </c>
      <c r="AQ469" s="32">
        <f t="shared" si="456"/>
        <v>22.0155492563234</v>
      </c>
      <c r="AR469" s="31">
        <f t="shared" si="457"/>
        <v>-74.5484683526229</v>
      </c>
      <c r="AS469" t="str">
        <f t="shared" si="433"/>
        <v>-0,000100699300699301</v>
      </c>
      <c r="AT469" t="str">
        <f t="shared" si="434"/>
        <v>0,456859795238054i</v>
      </c>
      <c r="AU469">
        <f t="shared" si="458"/>
        <v>0.456859795238054</v>
      </c>
      <c r="AV469">
        <f t="shared" si="459"/>
        <v>1.5707963267949</v>
      </c>
      <c r="AW469" t="str">
        <f t="shared" si="435"/>
        <v>1+23,3903835523044i</v>
      </c>
      <c r="AX469">
        <f t="shared" si="460"/>
        <v>23.4117500995528</v>
      </c>
      <c r="AY469">
        <f t="shared" si="461"/>
        <v>1.52806973348782</v>
      </c>
      <c r="AZ469" t="str">
        <f t="shared" si="436"/>
        <v>1+1118,25940089421i</v>
      </c>
      <c r="BA469">
        <f t="shared" si="462"/>
        <v>1118.25984801757</v>
      </c>
      <c r="BB469">
        <f t="shared" si="463"/>
        <v>1.56990208013563</v>
      </c>
      <c r="BC469" s="30" t="str">
        <f t="shared" si="464"/>
        <v>-0,000440289086437549+0,0105189468072005i</v>
      </c>
      <c r="BD469" s="32">
        <f t="shared" si="465"/>
        <v>-39.5529526878204</v>
      </c>
      <c r="BE469" s="31">
        <f t="shared" si="466"/>
        <v>92.3968169100477</v>
      </c>
      <c r="BF469" s="30" t="str">
        <f t="shared" si="467"/>
        <v>0,002371990315025-0,0240855103327763i</v>
      </c>
      <c r="BG469" s="68">
        <f t="shared" si="468"/>
        <v>-32.3229649173553</v>
      </c>
      <c r="BH469" s="31">
        <f t="shared" si="469"/>
        <v>-84.375531037352</v>
      </c>
      <c r="BI469" s="30" t="str">
        <f t="shared" si="423"/>
        <v>0,12638861874251+0,0406966239853958i</v>
      </c>
      <c r="BJ469" s="68">
        <f t="shared" si="470"/>
        <v>-17.5374034314969</v>
      </c>
      <c r="BK469" s="31">
        <f t="shared" si="424"/>
        <v>17.8483485574249</v>
      </c>
      <c r="BL469" s="32">
        <f t="shared" si="471"/>
        <v>-32.3229649173553</v>
      </c>
      <c r="BM469" s="31">
        <f t="shared" si="472"/>
        <v>-84.375531037352</v>
      </c>
      <c r="BO469">
        <f t="shared" si="473"/>
        <v>0</v>
      </c>
      <c r="BP469">
        <f t="shared" si="474"/>
        <v>0</v>
      </c>
    </row>
    <row r="470" spans="14:68">
      <c r="N470" s="7">
        <v>52</v>
      </c>
      <c r="O470" s="18">
        <f t="shared" si="422"/>
        <v>331131.121482591</v>
      </c>
      <c r="P470" s="86" t="str">
        <f t="shared" si="425"/>
        <v>75</v>
      </c>
      <c r="Q470" s="4" t="str">
        <f t="shared" si="426"/>
        <v>1+3398,2450555072i</v>
      </c>
      <c r="R470" s="4">
        <f t="shared" si="437"/>
        <v>3398.24520264197</v>
      </c>
      <c r="S470" s="4">
        <f t="shared" si="438"/>
        <v>1.57050205726612</v>
      </c>
      <c r="T470" s="4" t="str">
        <f t="shared" si="427"/>
        <v>1+32,6231525328692i</v>
      </c>
      <c r="U470" s="4">
        <f t="shared" si="439"/>
        <v>32.6384754727124</v>
      </c>
      <c r="V470" s="4">
        <f t="shared" si="440"/>
        <v>1.54015284524472</v>
      </c>
      <c r="W470" t="str">
        <f t="shared" si="428"/>
        <v>1-17,1125911723756i</v>
      </c>
      <c r="X470" s="4">
        <f t="shared" si="441"/>
        <v>17.1417845229972</v>
      </c>
      <c r="Y470" s="4">
        <f t="shared" si="442"/>
        <v>-1.51242620379736</v>
      </c>
      <c r="Z470" t="str">
        <f t="shared" si="429"/>
        <v>0,104915758250461+5,36996316747184i</v>
      </c>
      <c r="AA470" s="4">
        <f t="shared" si="443"/>
        <v>5.37098796650425</v>
      </c>
      <c r="AB470" s="4">
        <f t="shared" si="444"/>
        <v>1.55126129298902</v>
      </c>
      <c r="AC470" s="67" t="str">
        <f t="shared" si="445"/>
        <v>-2,29639709916461-0,109289734788032i</v>
      </c>
      <c r="AD470" s="68">
        <f t="shared" si="446"/>
        <v>7.23076536069724</v>
      </c>
      <c r="AE470" s="31">
        <f t="shared" si="447"/>
        <v>-177.275245073234</v>
      </c>
      <c r="AF470" s="32" t="str">
        <f t="shared" si="448"/>
        <v>249,914648392112</v>
      </c>
      <c r="AG470" s="32" t="str">
        <f t="shared" si="430"/>
        <v>1+2184,58610711177i</v>
      </c>
      <c r="AH470" s="32">
        <f t="shared" si="449"/>
        <v>2184.58633598807</v>
      </c>
      <c r="AI470" s="32">
        <f t="shared" si="450"/>
        <v>1.57033857421334</v>
      </c>
      <c r="AJ470" s="32" t="str">
        <f t="shared" si="431"/>
        <v>1+32,6231525328692i</v>
      </c>
      <c r="AK470" s="32">
        <f t="shared" si="451"/>
        <v>32.6384754727124</v>
      </c>
      <c r="AL470" s="32">
        <f t="shared" si="452"/>
        <v>1.54015284524472</v>
      </c>
      <c r="AM470" s="32" t="str">
        <f t="shared" si="432"/>
        <v>1-3,30137920343237i</v>
      </c>
      <c r="AN470" s="32">
        <f t="shared" si="453"/>
        <v>3.44950788444609</v>
      </c>
      <c r="AO470" s="32">
        <f t="shared" si="454"/>
        <v>-1.27667771422224</v>
      </c>
      <c r="AP470" s="30" t="str">
        <f t="shared" si="455"/>
        <v>3,36007559972317-12,4338021410724i</v>
      </c>
      <c r="AQ470" s="32">
        <f t="shared" si="456"/>
        <v>22.1981901261767</v>
      </c>
      <c r="AR470" s="31">
        <f t="shared" si="457"/>
        <v>-74.8777596947715</v>
      </c>
      <c r="AS470" t="str">
        <f t="shared" si="433"/>
        <v>-0,000100699300699301</v>
      </c>
      <c r="AT470" t="str">
        <f t="shared" si="434"/>
        <v>0,467501426921921i</v>
      </c>
      <c r="AU470">
        <f t="shared" si="458"/>
        <v>0.467501426921921</v>
      </c>
      <c r="AV470">
        <f t="shared" si="459"/>
        <v>1.5707963267949</v>
      </c>
      <c r="AW470" t="str">
        <f t="shared" si="435"/>
        <v>1+23,9352155758321i</v>
      </c>
      <c r="AX470">
        <f t="shared" si="460"/>
        <v>23.9560961899379</v>
      </c>
      <c r="AY470">
        <f t="shared" si="461"/>
        <v>1.52904116629526</v>
      </c>
      <c r="AZ470" t="str">
        <f t="shared" si="436"/>
        <v>1+1144,30700848712i</v>
      </c>
      <c r="BA470">
        <f t="shared" si="462"/>
        <v>1144.30744543271</v>
      </c>
      <c r="BB470">
        <f t="shared" si="463"/>
        <v>1.56992243566426</v>
      </c>
      <c r="BC470" s="30" t="str">
        <f t="shared" si="464"/>
        <v>-0,000420507342721779+0,0102803328155054i</v>
      </c>
      <c r="BD470" s="32">
        <f t="shared" si="465"/>
        <v>-39.7525962136611</v>
      </c>
      <c r="BE470" s="31">
        <f t="shared" si="466"/>
        <v>92.3423241959813</v>
      </c>
      <c r="BF470" s="30" t="str">
        <f t="shared" si="467"/>
        <v>0,002089186688943-0,0235617693200109i</v>
      </c>
      <c r="BG470" s="68">
        <f t="shared" si="468"/>
        <v>-32.5218308529639</v>
      </c>
      <c r="BH470" s="31">
        <f t="shared" si="469"/>
        <v>-84.9329208772528</v>
      </c>
      <c r="BI470" s="30" t="str">
        <f t="shared" si="423"/>
        <v>0,126410687710584+0,0397712005486838i</v>
      </c>
      <c r="BJ470" s="68">
        <f t="shared" si="470"/>
        <v>-17.5544060874844</v>
      </c>
      <c r="BK470" s="31">
        <f t="shared" si="424"/>
        <v>17.4645645012098</v>
      </c>
      <c r="BL470" s="32">
        <f t="shared" si="471"/>
        <v>-32.5218308529639</v>
      </c>
      <c r="BM470" s="31">
        <f t="shared" si="472"/>
        <v>-84.9329208772528</v>
      </c>
      <c r="BO470">
        <f t="shared" si="473"/>
        <v>0</v>
      </c>
      <c r="BP470">
        <f t="shared" si="474"/>
        <v>0</v>
      </c>
    </row>
    <row r="471" spans="14:68">
      <c r="N471" s="7">
        <v>53</v>
      </c>
      <c r="O471" s="18">
        <f t="shared" si="422"/>
        <v>338844.156139203</v>
      </c>
      <c r="P471" s="86" t="str">
        <f t="shared" si="425"/>
        <v>75</v>
      </c>
      <c r="Q471" s="4" t="str">
        <f t="shared" si="426"/>
        <v>1+3477,40035135326i</v>
      </c>
      <c r="R471" s="4">
        <f t="shared" si="437"/>
        <v>3477.40049513883</v>
      </c>
      <c r="S471" s="4">
        <f t="shared" si="438"/>
        <v>1.57050875565801</v>
      </c>
      <c r="T471" s="4" t="str">
        <f t="shared" si="427"/>
        <v>1+33,3830433729914i</v>
      </c>
      <c r="U471" s="4">
        <f t="shared" si="439"/>
        <v>33.3980176783447</v>
      </c>
      <c r="V471" s="4">
        <f t="shared" si="440"/>
        <v>1.54084995424439</v>
      </c>
      <c r="W471" t="str">
        <f t="shared" si="428"/>
        <v>1-17,5111946264575i</v>
      </c>
      <c r="X471" s="4">
        <f t="shared" si="441"/>
        <v>17.53972454874</v>
      </c>
      <c r="Y471" s="4">
        <f t="shared" si="442"/>
        <v>-1.51375195608329</v>
      </c>
      <c r="Z471" t="str">
        <f t="shared" si="429"/>
        <v>0,062731737553554+5,49504567807973i</v>
      </c>
      <c r="AA471" s="4">
        <f t="shared" si="443"/>
        <v>5.49540374086192</v>
      </c>
      <c r="AB471" s="4">
        <f t="shared" si="444"/>
        <v>1.55938076880987</v>
      </c>
      <c r="AC471" s="67" t="str">
        <f t="shared" si="445"/>
        <v>-2,29733009844853-0,0891837582533157i</v>
      </c>
      <c r="AD471" s="68">
        <f t="shared" si="446"/>
        <v>7.23100811453047</v>
      </c>
      <c r="AE471" s="31">
        <f t="shared" si="447"/>
        <v>-177.776859166333</v>
      </c>
      <c r="AF471" s="32" t="str">
        <f t="shared" si="448"/>
        <v>249,914648392112</v>
      </c>
      <c r="AG471" s="32" t="str">
        <f t="shared" si="430"/>
        <v>1+2235,47165444138i</v>
      </c>
      <c r="AH471" s="32">
        <f t="shared" si="449"/>
        <v>2235.47187810781</v>
      </c>
      <c r="AI471" s="32">
        <f t="shared" si="450"/>
        <v>1.57034899393281</v>
      </c>
      <c r="AJ471" s="32" t="str">
        <f t="shared" si="431"/>
        <v>1+33,3830433729914i</v>
      </c>
      <c r="AK471" s="32">
        <f t="shared" si="451"/>
        <v>33.3980176783447</v>
      </c>
      <c r="AL471" s="32">
        <f t="shared" si="452"/>
        <v>1.54084995424439</v>
      </c>
      <c r="AM471" s="32" t="str">
        <f t="shared" si="432"/>
        <v>1-3,37827820373379i</v>
      </c>
      <c r="AN471" s="32">
        <f t="shared" si="453"/>
        <v>3.52317521872285</v>
      </c>
      <c r="AO471" s="32">
        <f t="shared" si="454"/>
        <v>-1.28300521500328</v>
      </c>
      <c r="AP471" s="30" t="str">
        <f t="shared" si="455"/>
        <v>3,36007327453181-12,7182246989942i</v>
      </c>
      <c r="AQ471" s="32">
        <f t="shared" si="456"/>
        <v>22.3815486873879</v>
      </c>
      <c r="AR471" s="31">
        <f t="shared" si="457"/>
        <v>-75.2009543867976</v>
      </c>
      <c r="AS471" t="str">
        <f t="shared" si="433"/>
        <v>-0,000100699300699301</v>
      </c>
      <c r="AT471" t="str">
        <f t="shared" si="434"/>
        <v>0,478390934050456i</v>
      </c>
      <c r="AU471">
        <f t="shared" si="458"/>
        <v>0.478390934050456</v>
      </c>
      <c r="AV471">
        <f t="shared" si="459"/>
        <v>1.5707963267949</v>
      </c>
      <c r="AW471" t="str">
        <f t="shared" si="435"/>
        <v>1+24,4927383674783i</v>
      </c>
      <c r="AX471">
        <f t="shared" si="460"/>
        <v>24.5131440810383</v>
      </c>
      <c r="AY471">
        <f t="shared" si="461"/>
        <v>1.52999056279293</v>
      </c>
      <c r="AZ471" t="str">
        <f t="shared" si="436"/>
        <v>1+1170,96134280263i</v>
      </c>
      <c r="BA471">
        <f t="shared" si="462"/>
        <v>1170.96176980213</v>
      </c>
      <c r="BB471">
        <f t="shared" si="463"/>
        <v>1.56994232784519</v>
      </c>
      <c r="BC471" s="30" t="str">
        <f t="shared" si="464"/>
        <v>-0,000401612890971915+0,0100470953018843i</v>
      </c>
      <c r="BD471" s="32">
        <f t="shared" si="465"/>
        <v>-39.9522557561418</v>
      </c>
      <c r="BE471" s="31">
        <f t="shared" si="466"/>
        <v>92.2890675215928</v>
      </c>
      <c r="BF471" s="30" t="str">
        <f t="shared" si="467"/>
        <v>0,00181867510090598-0,0230456770920198i</v>
      </c>
      <c r="BG471" s="68">
        <f t="shared" si="468"/>
        <v>-32.7212476416113</v>
      </c>
      <c r="BH471" s="31">
        <f t="shared" si="469"/>
        <v>-85.4877916447407</v>
      </c>
      <c r="BI471" s="30" t="str">
        <f t="shared" si="423"/>
        <v>0,126431766879911+0,038866779399929i</v>
      </c>
      <c r="BJ471" s="68">
        <f t="shared" si="470"/>
        <v>-17.5707070687539</v>
      </c>
      <c r="BK471" s="31">
        <f t="shared" si="424"/>
        <v>17.0881131347952</v>
      </c>
      <c r="BL471" s="32">
        <f t="shared" si="471"/>
        <v>-32.7212476416113</v>
      </c>
      <c r="BM471" s="31">
        <f t="shared" si="472"/>
        <v>-85.4877916447407</v>
      </c>
      <c r="BO471">
        <f t="shared" si="473"/>
        <v>0</v>
      </c>
      <c r="BP471">
        <f t="shared" si="474"/>
        <v>0</v>
      </c>
    </row>
    <row r="472" spans="14:68">
      <c r="N472" s="7">
        <v>54</v>
      </c>
      <c r="O472" s="18">
        <f t="shared" si="422"/>
        <v>346736.850452532</v>
      </c>
      <c r="P472" s="86" t="str">
        <f t="shared" si="425"/>
        <v>75</v>
      </c>
      <c r="Q472" s="4" t="str">
        <f t="shared" si="426"/>
        <v>1+3558,39941089441i</v>
      </c>
      <c r="R472" s="4">
        <f t="shared" si="437"/>
        <v>3558.39955140702</v>
      </c>
      <c r="S472" s="4">
        <f t="shared" si="438"/>
        <v>1.57051530157591</v>
      </c>
      <c r="T472" s="4" t="str">
        <f t="shared" si="427"/>
        <v>1+34,1606343445864i</v>
      </c>
      <c r="U472" s="4">
        <f t="shared" si="439"/>
        <v>34.1752679407863</v>
      </c>
      <c r="V472" s="4">
        <f t="shared" si="440"/>
        <v>1.54153122323977</v>
      </c>
      <c r="W472" t="str">
        <f t="shared" si="428"/>
        <v>1-17,9190827477183i</v>
      </c>
      <c r="X472" s="4">
        <f t="shared" si="441"/>
        <v>17.9469642703042</v>
      </c>
      <c r="Y472" s="4">
        <f t="shared" si="442"/>
        <v>-1.51504772456614</v>
      </c>
      <c r="Z472" t="str">
        <f t="shared" si="429"/>
        <v>0,018559645210272+5,62304173464161i</v>
      </c>
      <c r="AA472" s="4">
        <f t="shared" si="443"/>
        <v>5.6230723639263</v>
      </c>
      <c r="AB472" s="4">
        <f t="shared" si="444"/>
        <v>1.56749569722662</v>
      </c>
      <c r="AC472" s="67" t="str">
        <f t="shared" si="445"/>
        <v>-2,29794428397397-0,0691088716100519i</v>
      </c>
      <c r="AD472" s="68">
        <f t="shared" si="446"/>
        <v>7.23071612905364</v>
      </c>
      <c r="AE472" s="31">
        <f t="shared" si="447"/>
        <v>-178.277393596278</v>
      </c>
      <c r="AF472" s="32" t="str">
        <f t="shared" si="448"/>
        <v>249,914648392112</v>
      </c>
      <c r="AG472" s="32" t="str">
        <f t="shared" si="430"/>
        <v>1+2287,54247843212i</v>
      </c>
      <c r="AH472" s="32">
        <f t="shared" si="449"/>
        <v>2287.54269700729</v>
      </c>
      <c r="AI472" s="32">
        <f t="shared" si="450"/>
        <v>1.5703591764706</v>
      </c>
      <c r="AJ472" s="32" t="str">
        <f t="shared" si="431"/>
        <v>1+34,1606343445864i</v>
      </c>
      <c r="AK472" s="32">
        <f t="shared" si="451"/>
        <v>34.1752679407863</v>
      </c>
      <c r="AL472" s="32">
        <f t="shared" si="452"/>
        <v>1.54153122323977</v>
      </c>
      <c r="AM472" s="32" t="str">
        <f t="shared" si="432"/>
        <v>1-3,45696841185558i</v>
      </c>
      <c r="AN472" s="32">
        <f t="shared" si="453"/>
        <v>3.5986984592443</v>
      </c>
      <c r="AO472" s="32">
        <f t="shared" si="454"/>
        <v>-1.28921167244332</v>
      </c>
      <c r="AP472" s="30" t="str">
        <f t="shared" si="455"/>
        <v>3,36007105399126-13,0093906279032i</v>
      </c>
      <c r="AQ472" s="32">
        <f t="shared" si="456"/>
        <v>22.5655977929996</v>
      </c>
      <c r="AR472" s="31">
        <f t="shared" si="457"/>
        <v>-75.5181077821315</v>
      </c>
      <c r="AS472" t="str">
        <f t="shared" si="433"/>
        <v>-0,000100699300699301</v>
      </c>
      <c r="AT472" t="str">
        <f t="shared" si="434"/>
        <v>0,489534090384476i</v>
      </c>
      <c r="AU472">
        <f t="shared" si="458"/>
        <v>0.489534090384476</v>
      </c>
      <c r="AV472">
        <f t="shared" si="459"/>
        <v>1.5707963267949</v>
      </c>
      <c r="AW472" t="str">
        <f t="shared" si="435"/>
        <v>1+25,0632475332064i</v>
      </c>
      <c r="AX472">
        <f t="shared" si="460"/>
        <v>25.0831891295899</v>
      </c>
      <c r="AY472">
        <f t="shared" si="461"/>
        <v>1.53091841951359</v>
      </c>
      <c r="AZ472" t="str">
        <f t="shared" si="436"/>
        <v>1+1198,23653632159i</v>
      </c>
      <c r="BA472">
        <f t="shared" si="462"/>
        <v>1198.2369536014</v>
      </c>
      <c r="BB472">
        <f t="shared" si="463"/>
        <v>1.56996176722546</v>
      </c>
      <c r="BC472" s="30" t="str">
        <f t="shared" si="464"/>
        <v>-0,000383566062705187+0,00981911554296308i</v>
      </c>
      <c r="BD472" s="32">
        <f t="shared" si="465"/>
        <v>-40.1519305967964</v>
      </c>
      <c r="BE472" s="31">
        <f t="shared" si="466"/>
        <v>92.2370190419518</v>
      </c>
      <c r="BF472" s="30" t="str">
        <f t="shared" si="467"/>
        <v>0,00156000143670269-0,0225372726178505i</v>
      </c>
      <c r="BG472" s="68">
        <f t="shared" si="468"/>
        <v>-32.9212144677428</v>
      </c>
      <c r="BH472" s="31">
        <f t="shared" si="469"/>
        <v>-86.0403745543267</v>
      </c>
      <c r="BI472" s="30" t="str">
        <f t="shared" si="423"/>
        <v>0,126451900494333+0,0379828866530445i</v>
      </c>
      <c r="BJ472" s="68">
        <f t="shared" si="470"/>
        <v>-17.5863328037968</v>
      </c>
      <c r="BK472" s="31">
        <f t="shared" si="424"/>
        <v>16.7189112598204</v>
      </c>
      <c r="BL472" s="32">
        <f t="shared" si="471"/>
        <v>-32.9212144677428</v>
      </c>
      <c r="BM472" s="31">
        <f t="shared" si="472"/>
        <v>-86.0403745543267</v>
      </c>
      <c r="BO472">
        <f t="shared" si="473"/>
        <v>0</v>
      </c>
      <c r="BP472">
        <f t="shared" si="474"/>
        <v>0</v>
      </c>
    </row>
    <row r="473" spans="14:68">
      <c r="N473" s="7">
        <v>55</v>
      </c>
      <c r="O473" s="18">
        <f t="shared" si="422"/>
        <v>354813.389233576</v>
      </c>
      <c r="P473" s="86" t="str">
        <f t="shared" si="425"/>
        <v>75</v>
      </c>
      <c r="Q473" s="4" t="str">
        <f t="shared" si="426"/>
        <v>1+3641,28518090423i</v>
      </c>
      <c r="R473" s="4">
        <f t="shared" si="437"/>
        <v>3641.28531821838</v>
      </c>
      <c r="S473" s="4">
        <f t="shared" si="438"/>
        <v>1.57052169849055</v>
      </c>
      <c r="T473" s="4" t="str">
        <f t="shared" si="427"/>
        <v>1+34,9563377366807i</v>
      </c>
      <c r="U473" s="4">
        <f t="shared" si="439"/>
        <v>34.9706383693648</v>
      </c>
      <c r="V473" s="4">
        <f t="shared" si="440"/>
        <v>1.54219701091766</v>
      </c>
      <c r="W473" t="str">
        <f t="shared" si="428"/>
        <v>1-18,3364718038392i</v>
      </c>
      <c r="X473" s="4">
        <f t="shared" si="441"/>
        <v>18.3637196181218</v>
      </c>
      <c r="Y473" s="4">
        <f t="shared" si="442"/>
        <v>-1.51631417886473</v>
      </c>
      <c r="Z473" t="str">
        <f t="shared" si="429"/>
        <v>-0,0276942137095399+5,754019202361i</v>
      </c>
      <c r="AA473" s="4">
        <f t="shared" si="443"/>
        <v>5.7540858483874</v>
      </c>
      <c r="AB473" s="4">
        <f t="shared" si="444"/>
        <v>1.57560931036195</v>
      </c>
      <c r="AC473" s="67" t="str">
        <f t="shared" si="445"/>
        <v>-2,2982406014815-0,0490621940971511i</v>
      </c>
      <c r="AD473" s="68">
        <f t="shared" si="446"/>
        <v>7.22988859352471</v>
      </c>
      <c r="AE473" s="31">
        <f t="shared" si="447"/>
        <v>-178.777051564006</v>
      </c>
      <c r="AF473" s="32" t="str">
        <f t="shared" si="448"/>
        <v>249,914648392112</v>
      </c>
      <c r="AG473" s="32" t="str">
        <f t="shared" si="430"/>
        <v>1+2340,82618772415i</v>
      </c>
      <c r="AH473" s="32">
        <f t="shared" si="449"/>
        <v>2340.82640132394</v>
      </c>
      <c r="AI473" s="32">
        <f t="shared" si="450"/>
        <v>1.57036912722561</v>
      </c>
      <c r="AJ473" s="32" t="str">
        <f t="shared" si="431"/>
        <v>1+34,9563377366807i</v>
      </c>
      <c r="AK473" s="32">
        <f t="shared" si="451"/>
        <v>34.9706383693648</v>
      </c>
      <c r="AL473" s="32">
        <f t="shared" si="452"/>
        <v>1.54219701091766</v>
      </c>
      <c r="AM473" s="32" t="str">
        <f t="shared" si="432"/>
        <v>1-3,53749155038776i</v>
      </c>
      <c r="AN473" s="32">
        <f t="shared" si="453"/>
        <v>3.6761183970412</v>
      </c>
      <c r="AO473" s="32">
        <f t="shared" si="454"/>
        <v>-1.29529846397051</v>
      </c>
      <c r="AP473" s="30" t="str">
        <f t="shared" si="455"/>
        <v>3,36006893339146-13,3074543078355i</v>
      </c>
      <c r="AQ473" s="32">
        <f t="shared" si="456"/>
        <v>22.7503111169897</v>
      </c>
      <c r="AR473" s="31">
        <f t="shared" si="457"/>
        <v>-75.8292785596861</v>
      </c>
      <c r="AS473" t="str">
        <f t="shared" si="433"/>
        <v>-0,000100699300699301</v>
      </c>
      <c r="AT473" t="str">
        <f t="shared" si="434"/>
        <v>0,500936804172967i</v>
      </c>
      <c r="AU473">
        <f t="shared" si="458"/>
        <v>0.500936804172967</v>
      </c>
      <c r="AV473">
        <f t="shared" si="459"/>
        <v>1.5707963267949</v>
      </c>
      <c r="AW473" t="str">
        <f t="shared" si="435"/>
        <v>1+25,6470455645281i</v>
      </c>
      <c r="AX473">
        <f t="shared" si="460"/>
        <v>25.666533583423</v>
      </c>
      <c r="AY473">
        <f t="shared" si="461"/>
        <v>1.53182522202503</v>
      </c>
      <c r="AZ473" t="str">
        <f t="shared" si="436"/>
        <v>1+1226,14705071265i</v>
      </c>
      <c r="BA473">
        <f t="shared" si="462"/>
        <v>1226.14745849401</v>
      </c>
      <c r="BB473">
        <f t="shared" si="463"/>
        <v>1.56998076411202</v>
      </c>
      <c r="BC473" s="30" t="str">
        <f t="shared" si="464"/>
        <v>-0,000366328951472804+0,00959627727499614i</v>
      </c>
      <c r="BD473" s="32">
        <f t="shared" si="465"/>
        <v>-40.3516200492847</v>
      </c>
      <c r="BE473" s="31">
        <f t="shared" si="466"/>
        <v>92.1861515266178</v>
      </c>
      <c r="BF473" s="30" t="str">
        <f t="shared" si="467"/>
        <v>0,00131272648804889-0,0220365811543498i</v>
      </c>
      <c r="BG473" s="68">
        <f t="shared" si="468"/>
        <v>-33.1217314557599</v>
      </c>
      <c r="BH473" s="31">
        <f t="shared" si="469"/>
        <v>-86.590900037388</v>
      </c>
      <c r="BI473" s="30" t="str">
        <f t="shared" si="423"/>
        <v>0,126471130833086+0,0371190589312866i</v>
      </c>
      <c r="BJ473" s="68">
        <f t="shared" si="470"/>
        <v>-17.601308932295</v>
      </c>
      <c r="BK473" s="31">
        <f t="shared" si="424"/>
        <v>16.3568729669316</v>
      </c>
      <c r="BL473" s="32">
        <f t="shared" si="471"/>
        <v>-33.1217314557599</v>
      </c>
      <c r="BM473" s="31">
        <f t="shared" si="472"/>
        <v>-86.590900037388</v>
      </c>
      <c r="BO473">
        <f t="shared" si="473"/>
        <v>0</v>
      </c>
      <c r="BP473">
        <f t="shared" si="474"/>
        <v>0</v>
      </c>
    </row>
    <row r="474" spans="14:68">
      <c r="N474" s="7">
        <v>56</v>
      </c>
      <c r="O474" s="18">
        <f t="shared" si="422"/>
        <v>363078.054770102</v>
      </c>
      <c r="P474" s="86" t="str">
        <f t="shared" si="425"/>
        <v>75</v>
      </c>
      <c r="Q474" s="4" t="str">
        <f t="shared" si="426"/>
        <v>1+3726,10160851505i</v>
      </c>
      <c r="R474" s="4">
        <f t="shared" si="437"/>
        <v>3726.10174270355</v>
      </c>
      <c r="S474" s="4">
        <f t="shared" si="438"/>
        <v>1.57052794979366</v>
      </c>
      <c r="T474" s="4" t="str">
        <f t="shared" si="427"/>
        <v>1+35,7705754417445i</v>
      </c>
      <c r="U474" s="4">
        <f t="shared" si="439"/>
        <v>35.7845506808949</v>
      </c>
      <c r="V474" s="4">
        <f t="shared" si="440"/>
        <v>1.54284766792516</v>
      </c>
      <c r="W474" t="str">
        <f t="shared" si="428"/>
        <v>1-18,7635831000222i</v>
      </c>
      <c r="X474" s="4">
        <f t="shared" si="441"/>
        <v>18.7902115675007</v>
      </c>
      <c r="Y474" s="4">
        <f t="shared" si="442"/>
        <v>-1.5175519742105</v>
      </c>
      <c r="Z474" t="str">
        <f t="shared" si="429"/>
        <v>-0,07612794984198+5,88804752722489i</v>
      </c>
      <c r="AA474" s="4">
        <f t="shared" si="443"/>
        <v>5.88853964473419</v>
      </c>
      <c r="AB474" s="4">
        <f t="shared" si="444"/>
        <v>1.58372484137231</v>
      </c>
      <c r="AC474" s="67" t="str">
        <f t="shared" si="445"/>
        <v>-2,29821957414876-0,0290408279907003i</v>
      </c>
      <c r="AD474" s="68">
        <f t="shared" si="446"/>
        <v>7.22852378629644</v>
      </c>
      <c r="AE474" s="31">
        <f t="shared" si="447"/>
        <v>-179.276035961464</v>
      </c>
      <c r="AF474" s="32" t="str">
        <f t="shared" si="448"/>
        <v>249,914648392112</v>
      </c>
      <c r="AG474" s="32" t="str">
        <f t="shared" si="430"/>
        <v>1+2395,35103404539i</v>
      </c>
      <c r="AH474" s="32">
        <f t="shared" si="449"/>
        <v>2395.35124278305</v>
      </c>
      <c r="AI474" s="32">
        <f t="shared" si="450"/>
        <v>1.57037885147387</v>
      </c>
      <c r="AJ474" s="32" t="str">
        <f t="shared" si="431"/>
        <v>1+35,7705754417445i</v>
      </c>
      <c r="AK474" s="32">
        <f t="shared" si="451"/>
        <v>35.7845506808949</v>
      </c>
      <c r="AL474" s="32">
        <f t="shared" si="452"/>
        <v>1.54284766792516</v>
      </c>
      <c r="AM474" s="32" t="str">
        <f t="shared" si="432"/>
        <v>1-3,61989031376417i</v>
      </c>
      <c r="AN474" s="32">
        <f t="shared" si="453"/>
        <v>3.75547678513443</v>
      </c>
      <c r="AO474" s="32">
        <f t="shared" si="454"/>
        <v>-1.30126701210247</v>
      </c>
      <c r="AP474" s="30" t="str">
        <f t="shared" si="455"/>
        <v>3,36006690823434-13,6125737761051i</v>
      </c>
      <c r="AQ474" s="32">
        <f t="shared" si="456"/>
        <v>22.9356631464723</v>
      </c>
      <c r="AR474" s="31">
        <f t="shared" si="457"/>
        <v>-76.1345284354117</v>
      </c>
      <c r="AS474" t="str">
        <f t="shared" si="433"/>
        <v>-0,000100699300699301</v>
      </c>
      <c r="AT474" t="str">
        <f t="shared" si="434"/>
        <v>0,512605121285714i</v>
      </c>
      <c r="AU474">
        <f t="shared" si="458"/>
        <v>0.512605121285714</v>
      </c>
      <c r="AV474">
        <f t="shared" si="459"/>
        <v>1.5707963267949</v>
      </c>
      <c r="AW474" t="str">
        <f t="shared" si="435"/>
        <v>1+26,2444419988867i</v>
      </c>
      <c r="AX474">
        <f t="shared" si="460"/>
        <v>26.2634867417281</v>
      </c>
      <c r="AY474">
        <f t="shared" si="461"/>
        <v>1.53271144515731</v>
      </c>
      <c r="AZ474" t="str">
        <f t="shared" si="436"/>
        <v>1+1254,70768449997i</v>
      </c>
      <c r="BA474">
        <f t="shared" si="462"/>
        <v>1254.7080829991</v>
      </c>
      <c r="BB474">
        <f t="shared" si="463"/>
        <v>1.56999932857721</v>
      </c>
      <c r="BC474" s="30" t="str">
        <f t="shared" si="464"/>
        <v>-0,000349865335598421+0,00937846665392953i</v>
      </c>
      <c r="BD474" s="32">
        <f t="shared" si="465"/>
        <v>-40.5513234579643</v>
      </c>
      <c r="BE474" s="31">
        <f t="shared" si="466"/>
        <v>92.1364383469359</v>
      </c>
      <c r="BF474" s="30" t="str">
        <f t="shared" si="467"/>
        <v>0,0010764257995017-0,0215436152605312i</v>
      </c>
      <c r="BG474" s="68">
        <f t="shared" si="468"/>
        <v>-33.3227996716678</v>
      </c>
      <c r="BH474" s="31">
        <f t="shared" si="469"/>
        <v>-87.1395976145283</v>
      </c>
      <c r="BI474" s="30" t="str">
        <f t="shared" si="423"/>
        <v>0,126489498296875+0,0362748431463831i</v>
      </c>
      <c r="BJ474" s="68">
        <f t="shared" si="470"/>
        <v>-17.6156603114919</v>
      </c>
      <c r="BK474" s="31">
        <f t="shared" si="424"/>
        <v>16.0019099115241</v>
      </c>
      <c r="BL474" s="32">
        <f t="shared" si="471"/>
        <v>-33.3227996716678</v>
      </c>
      <c r="BM474" s="31">
        <f t="shared" si="472"/>
        <v>-87.1395976145283</v>
      </c>
      <c r="BO474">
        <f t="shared" si="473"/>
        <v>0</v>
      </c>
      <c r="BP474">
        <f t="shared" si="474"/>
        <v>0</v>
      </c>
    </row>
    <row r="475" spans="14:68">
      <c r="N475" s="7">
        <v>57</v>
      </c>
      <c r="O475" s="18">
        <f t="shared" si="422"/>
        <v>371535.229097173</v>
      </c>
      <c r="P475" s="86" t="str">
        <f t="shared" si="425"/>
        <v>75</v>
      </c>
      <c r="Q475" s="4" t="str">
        <f t="shared" si="426"/>
        <v>1+3812,8936645195i</v>
      </c>
      <c r="R475" s="4">
        <f t="shared" si="437"/>
        <v>3812.8937956535</v>
      </c>
      <c r="S475" s="4">
        <f t="shared" si="438"/>
        <v>1.57053405879976</v>
      </c>
      <c r="T475" s="4" t="str">
        <f t="shared" si="427"/>
        <v>1+36,6037791793872i</v>
      </c>
      <c r="U475" s="4">
        <f t="shared" si="439"/>
        <v>36.6174364232853</v>
      </c>
      <c r="V475" s="4">
        <f t="shared" si="440"/>
        <v>1.54348353704428</v>
      </c>
      <c r="W475" t="str">
        <f t="shared" si="428"/>
        <v>1-19,2006430963303i</v>
      </c>
      <c r="X475" s="4">
        <f t="shared" si="441"/>
        <v>19.2266662558192</v>
      </c>
      <c r="Y475" s="4">
        <f t="shared" si="442"/>
        <v>-1.51876175171853</v>
      </c>
      <c r="Z475" t="str">
        <f t="shared" si="429"/>
        <v>-0,12684429763502+6,02519777282525i</v>
      </c>
      <c r="AA475" s="4">
        <f t="shared" si="443"/>
        <v>6.02653280730312</v>
      </c>
      <c r="AB475" s="4">
        <f t="shared" si="444"/>
        <v>1.59184552190645</v>
      </c>
      <c r="AC475" s="67" t="str">
        <f t="shared" si="445"/>
        <v>-2,29788130292965-0,00904188377446718i</v>
      </c>
      <c r="AD475" s="68">
        <f t="shared" si="446"/>
        <v>7.22661907142176</v>
      </c>
      <c r="AE475" s="31">
        <f t="shared" si="447"/>
        <v>-179.774549231622</v>
      </c>
      <c r="AF475" s="32" t="str">
        <f t="shared" si="448"/>
        <v>249,914648392112</v>
      </c>
      <c r="AG475" s="32" t="str">
        <f t="shared" si="430"/>
        <v>1+2451,14592719111i</v>
      </c>
      <c r="AH475" s="32">
        <f t="shared" si="449"/>
        <v>2451.14613117732</v>
      </c>
      <c r="AI475" s="32">
        <f t="shared" si="450"/>
        <v>1.57038835437129</v>
      </c>
      <c r="AJ475" s="32" t="str">
        <f t="shared" si="431"/>
        <v>1+36,6037791793872i</v>
      </c>
      <c r="AK475" s="32">
        <f t="shared" si="451"/>
        <v>36.6174364232853</v>
      </c>
      <c r="AL475" s="32">
        <f t="shared" si="452"/>
        <v>1.54348353704428</v>
      </c>
      <c r="AM475" s="32" t="str">
        <f t="shared" si="432"/>
        <v>1-3,70420839089985i</v>
      </c>
      <c r="AN475" s="32">
        <f t="shared" si="453"/>
        <v>3.83681636297763</v>
      </c>
      <c r="AO475" s="32">
        <f t="shared" si="454"/>
        <v>-1.3071187798006</v>
      </c>
      <c r="AP475" s="30" t="str">
        <f t="shared" si="455"/>
        <v>3,36006497422427-13,9249108110984i</v>
      </c>
      <c r="AQ475" s="32">
        <f t="shared" si="456"/>
        <v>23.1216291723747</v>
      </c>
      <c r="AR475" s="31">
        <f t="shared" si="457"/>
        <v>-76.4339218862725</v>
      </c>
      <c r="AS475" t="str">
        <f t="shared" si="433"/>
        <v>-0,000100699300699301</v>
      </c>
      <c r="AT475" t="str">
        <f t="shared" si="434"/>
        <v>0,524545228418897i</v>
      </c>
      <c r="AU475">
        <f t="shared" si="458"/>
        <v>0.524545228418897</v>
      </c>
      <c r="AV475">
        <f t="shared" si="459"/>
        <v>1.5707963267949</v>
      </c>
      <c r="AW475" t="str">
        <f t="shared" si="435"/>
        <v>1+26,8557535837795i</v>
      </c>
      <c r="AX475">
        <f t="shared" si="460"/>
        <v>26.8743651190625</v>
      </c>
      <c r="AY475">
        <f t="shared" si="461"/>
        <v>1.53357755322623</v>
      </c>
      <c r="AZ475" t="str">
        <f t="shared" si="436"/>
        <v>1+1283,93358090963i</v>
      </c>
      <c r="BA475">
        <f t="shared" si="462"/>
        <v>1283.93397033782</v>
      </c>
      <c r="BB475">
        <f t="shared" si="463"/>
        <v>1.57001747046412</v>
      </c>
      <c r="BC475" s="30" t="str">
        <f t="shared" si="464"/>
        <v>-0,000334140604215523+0,00916557221531851i</v>
      </c>
      <c r="BD475" s="32">
        <f t="shared" si="465"/>
        <v>-40.7510401965263</v>
      </c>
      <c r="BE475" s="31">
        <f t="shared" si="466"/>
        <v>92.0878534635368</v>
      </c>
      <c r="BF475" s="30" t="str">
        <f t="shared" si="467"/>
        <v>0,000850689485673862-0,0210583757637243i</v>
      </c>
      <c r="BG475" s="68">
        <f t="shared" si="468"/>
        <v>-33.5244211251046</v>
      </c>
      <c r="BH475" s="31">
        <f t="shared" si="469"/>
        <v>-87.6866957680855</v>
      </c>
      <c r="BI475" s="30" t="str">
        <f t="shared" si="423"/>
        <v>0,126507041490301+0,0354497962814826i</v>
      </c>
      <c r="BJ475" s="68">
        <f t="shared" si="470"/>
        <v>-17.6294110241517</v>
      </c>
      <c r="BK475" s="31">
        <f t="shared" si="424"/>
        <v>15.6539315772643</v>
      </c>
      <c r="BL475" s="32">
        <f t="shared" si="471"/>
        <v>-33.5244211251046</v>
      </c>
      <c r="BM475" s="31">
        <f t="shared" si="472"/>
        <v>-87.6866957680855</v>
      </c>
      <c r="BO475">
        <f t="shared" si="473"/>
        <v>0</v>
      </c>
      <c r="BP475">
        <f t="shared" si="474"/>
        <v>0</v>
      </c>
    </row>
    <row r="476" spans="14:68">
      <c r="N476" s="7">
        <v>58</v>
      </c>
      <c r="O476" s="18">
        <f t="shared" si="422"/>
        <v>380189.396320562</v>
      </c>
      <c r="P476" s="86" t="str">
        <f t="shared" si="425"/>
        <v>75</v>
      </c>
      <c r="Q476" s="4" t="str">
        <f t="shared" si="426"/>
        <v>1+3901,70736721449i</v>
      </c>
      <c r="R476" s="4">
        <f t="shared" si="437"/>
        <v>3901.70749536351</v>
      </c>
      <c r="S476" s="4">
        <f t="shared" si="438"/>
        <v>1.57054002874792</v>
      </c>
      <c r="T476" s="4" t="str">
        <f t="shared" si="427"/>
        <v>1+37,4563907252591i</v>
      </c>
      <c r="U476" s="4">
        <f t="shared" si="439"/>
        <v>37.469737204353</v>
      </c>
      <c r="V476" s="4">
        <f t="shared" si="440"/>
        <v>1.54410495336328</v>
      </c>
      <c r="W476" t="str">
        <f t="shared" si="428"/>
        <v>1-19,6478835277587i</v>
      </c>
      <c r="X476" s="4">
        <f t="shared" si="441"/>
        <v>19.6733151024521</v>
      </c>
      <c r="Y476" s="4">
        <f t="shared" si="442"/>
        <v>-1.51994413865617</v>
      </c>
      <c r="Z476" t="str">
        <f t="shared" si="429"/>
        <v>-0,17995083326199+6,16554265803769i</v>
      </c>
      <c r="AA476" s="4">
        <f t="shared" si="443"/>
        <v>6.16816816976273</v>
      </c>
      <c r="AB476" s="4">
        <f t="shared" si="444"/>
        <v>1.59997457955675</v>
      </c>
      <c r="AC476" s="67" t="str">
        <f t="shared" si="445"/>
        <v>-2,29722546763027+0,0109374947262642i</v>
      </c>
      <c r="AD476" s="68">
        <f t="shared" si="446"/>
        <v>7.22417089493247</v>
      </c>
      <c r="AE476" s="31">
        <f t="shared" si="447"/>
        <v>179.727206771885</v>
      </c>
      <c r="AF476" s="32" t="str">
        <f t="shared" si="448"/>
        <v>249,914648392112</v>
      </c>
      <c r="AG476" s="32" t="str">
        <f t="shared" si="430"/>
        <v>1+2508,24045035217i</v>
      </c>
      <c r="AH476" s="32">
        <f t="shared" si="449"/>
        <v>2508.24064969509</v>
      </c>
      <c r="AI476" s="32">
        <f t="shared" si="450"/>
        <v>1.57039764095643</v>
      </c>
      <c r="AJ476" s="32" t="str">
        <f t="shared" si="431"/>
        <v>1+37,4563907252591i</v>
      </c>
      <c r="AK476" s="32">
        <f t="shared" si="451"/>
        <v>37.469737204353</v>
      </c>
      <c r="AL476" s="32">
        <f t="shared" si="452"/>
        <v>1.54410495336328</v>
      </c>
      <c r="AM476" s="32" t="str">
        <f t="shared" si="432"/>
        <v>1-3,79049048835539i</v>
      </c>
      <c r="AN476" s="32">
        <f t="shared" si="453"/>
        <v>3.92018088132584</v>
      </c>
      <c r="AO476" s="32">
        <f t="shared" si="454"/>
        <v>-1.312855266038</v>
      </c>
      <c r="AP476" s="30" t="str">
        <f t="shared" si="455"/>
        <v>3,36006312725897-14,2446310180508i</v>
      </c>
      <c r="AQ476" s="32">
        <f t="shared" si="456"/>
        <v>23.3081852787452</v>
      </c>
      <c r="AR476" s="31">
        <f t="shared" si="457"/>
        <v>-76.7275258866457</v>
      </c>
      <c r="AS476" t="str">
        <f t="shared" si="433"/>
        <v>-0,000100699300699301</v>
      </c>
      <c r="AT476" t="str">
        <f t="shared" si="434"/>
        <v>0,536763456375365i</v>
      </c>
      <c r="AU476">
        <f t="shared" si="458"/>
        <v>0.536763456375365</v>
      </c>
      <c r="AV476">
        <f t="shared" si="459"/>
        <v>1.5707963267949</v>
      </c>
      <c r="AW476" t="str">
        <f t="shared" si="435"/>
        <v>1+27,4813044447003i</v>
      </c>
      <c r="AX476">
        <f t="shared" si="460"/>
        <v>27.4994926131793</v>
      </c>
      <c r="AY476">
        <f t="shared" si="461"/>
        <v>1.53442400025314</v>
      </c>
      <c r="AZ476" t="str">
        <f t="shared" si="436"/>
        <v>1+1313,84023589876i</v>
      </c>
      <c r="BA476">
        <f t="shared" si="462"/>
        <v>1313.84061646248</v>
      </c>
      <c r="BB476">
        <f t="shared" si="463"/>
        <v>1.57003519939175</v>
      </c>
      <c r="BC476" s="30" t="str">
        <f t="shared" si="464"/>
        <v>-0,000319121686470859+0,00895748483417228i</v>
      </c>
      <c r="BD476" s="32">
        <f t="shared" si="465"/>
        <v>-40.9507696666903</v>
      </c>
      <c r="BE476" s="31">
        <f t="shared" si="466"/>
        <v>92.0403714140424</v>
      </c>
      <c r="BF476" s="30" t="str">
        <f t="shared" si="467"/>
        <v>0,000635122022299629-0,0205808526787353i</v>
      </c>
      <c r="BG476" s="68">
        <f t="shared" si="468"/>
        <v>-33.7265987717579</v>
      </c>
      <c r="BH476" s="31">
        <f t="shared" si="469"/>
        <v>-88.232421814073</v>
      </c>
      <c r="BI476" s="30" t="str">
        <f t="shared" si="423"/>
        <v>0,126523797300751+0,0346434851779192i</v>
      </c>
      <c r="BJ476" s="68">
        <f t="shared" si="470"/>
        <v>-17.6425843879452</v>
      </c>
      <c r="BK476" s="31">
        <f t="shared" si="424"/>
        <v>15.3128455273967</v>
      </c>
      <c r="BL476" s="32">
        <f t="shared" si="471"/>
        <v>-33.7265987717579</v>
      </c>
      <c r="BM476" s="31">
        <f t="shared" si="472"/>
        <v>-88.232421814073</v>
      </c>
      <c r="BO476">
        <f t="shared" si="473"/>
        <v>0</v>
      </c>
      <c r="BP476">
        <f t="shared" si="474"/>
        <v>0</v>
      </c>
    </row>
    <row r="477" spans="14:68">
      <c r="N477" s="7">
        <v>59</v>
      </c>
      <c r="O477" s="18">
        <f t="shared" si="422"/>
        <v>389045.144994281</v>
      </c>
      <c r="P477" s="86" t="str">
        <f t="shared" si="425"/>
        <v>75</v>
      </c>
      <c r="Q477" s="4" t="str">
        <f t="shared" si="426"/>
        <v>1+3992,58980680078i</v>
      </c>
      <c r="R477" s="4">
        <f t="shared" si="437"/>
        <v>3992.58993203278</v>
      </c>
      <c r="S477" s="4">
        <f t="shared" si="438"/>
        <v>1.57054586280348</v>
      </c>
      <c r="T477" s="4" t="str">
        <f t="shared" si="427"/>
        <v>1+38,3288621452875i</v>
      </c>
      <c r="U477" s="4">
        <f t="shared" si="439"/>
        <v>38.3419049259743</v>
      </c>
      <c r="V477" s="4">
        <f t="shared" si="440"/>
        <v>1.54471224444449</v>
      </c>
      <c r="W477" t="str">
        <f t="shared" si="428"/>
        <v>1-20,1055415271039i</v>
      </c>
      <c r="X477" s="4">
        <f t="shared" si="441"/>
        <v>20.1303949314985</v>
      </c>
      <c r="Y477" s="4">
        <f t="shared" si="442"/>
        <v>-1.52109974870894</v>
      </c>
      <c r="Z477" t="str">
        <f t="shared" si="429"/>
        <v>-0,23556020280508+6,30915659557802i</v>
      </c>
      <c r="AA477" s="4">
        <f t="shared" si="443"/>
        <v>6.31355253060202</v>
      </c>
      <c r="AB477" s="4">
        <f t="shared" si="444"/>
        <v>1.6081152352912</v>
      </c>
      <c r="AC477" s="67" t="str">
        <f t="shared" si="445"/>
        <v>-2,29625132872589+0,0309001052140477i</v>
      </c>
      <c r="AD477" s="68">
        <f t="shared" si="446"/>
        <v>7.22117478079483</v>
      </c>
      <c r="AE477" s="31">
        <f t="shared" si="447"/>
        <v>179.229030926173</v>
      </c>
      <c r="AF477" s="32" t="str">
        <f t="shared" si="448"/>
        <v>249,914648392112</v>
      </c>
      <c r="AG477" s="32" t="str">
        <f t="shared" si="430"/>
        <v>1+2566,6648758005i</v>
      </c>
      <c r="AH477" s="32">
        <f t="shared" si="449"/>
        <v>2566.66507060582</v>
      </c>
      <c r="AI477" s="32">
        <f t="shared" si="450"/>
        <v>1.57040671615315</v>
      </c>
      <c r="AJ477" s="32" t="str">
        <f t="shared" si="431"/>
        <v>1+38,3288621452875i</v>
      </c>
      <c r="AK477" s="32">
        <f t="shared" si="451"/>
        <v>38.3419049259743</v>
      </c>
      <c r="AL477" s="32">
        <f t="shared" si="452"/>
        <v>1.54471224444449</v>
      </c>
      <c r="AM477" s="32" t="str">
        <f t="shared" si="432"/>
        <v>1-3,87878235404092i</v>
      </c>
      <c r="AN477" s="32">
        <f t="shared" si="453"/>
        <v>4.00561512754523</v>
      </c>
      <c r="AO477" s="32">
        <f t="shared" si="454"/>
        <v>-1.31847800157965</v>
      </c>
      <c r="AP477" s="30" t="str">
        <f t="shared" si="455"/>
        <v>3,36006136342078-14,5719039168526i</v>
      </c>
      <c r="AQ477" s="32">
        <f t="shared" si="456"/>
        <v>23.4953083308493</v>
      </c>
      <c r="AR477" s="31">
        <f t="shared" si="457"/>
        <v>-77.0154096570815</v>
      </c>
      <c r="AS477" t="str">
        <f t="shared" si="433"/>
        <v>-0,000100699300699301</v>
      </c>
      <c r="AT477" t="str">
        <f t="shared" si="434"/>
        <v>0,549266283421307i</v>
      </c>
      <c r="AU477">
        <f t="shared" si="458"/>
        <v>0.549266283421307</v>
      </c>
      <c r="AV477">
        <f t="shared" si="459"/>
        <v>1.5707963267949</v>
      </c>
      <c r="AW477" t="str">
        <f t="shared" si="435"/>
        <v>1+28,1214262569958i</v>
      </c>
      <c r="AX477">
        <f t="shared" si="460"/>
        <v>28.1392006767721</v>
      </c>
      <c r="AY477">
        <f t="shared" si="461"/>
        <v>1.53525123018104</v>
      </c>
      <c r="AZ477" t="str">
        <f t="shared" si="436"/>
        <v>1+1344,44350637169i</v>
      </c>
      <c r="BA477">
        <f t="shared" si="462"/>
        <v>1344.44387827272</v>
      </c>
      <c r="BB477">
        <f t="shared" si="463"/>
        <v>1.57005252476019</v>
      </c>
      <c r="BC477" s="30" t="str">
        <f t="shared" si="464"/>
        <v>-0,000304776983765528+0,0087540976847907i</v>
      </c>
      <c r="BD477" s="32">
        <f t="shared" si="465"/>
        <v>-41.1505112969567</v>
      </c>
      <c r="BE477" s="31">
        <f t="shared" si="466"/>
        <v>91.9939673009767</v>
      </c>
      <c r="BF477" s="30" t="str">
        <f t="shared" si="467"/>
        <v>0,000429342014422579-0,0201110260813621i</v>
      </c>
      <c r="BG477" s="68">
        <f t="shared" si="468"/>
        <v>-33.9293365161619</v>
      </c>
      <c r="BH477" s="31">
        <f t="shared" si="469"/>
        <v>-88.7770017728503</v>
      </c>
      <c r="BI477" s="30" t="str">
        <f t="shared" si="423"/>
        <v>0,126539800973901+0,033855486325776i</v>
      </c>
      <c r="BJ477" s="68">
        <f t="shared" si="470"/>
        <v>-17.6552029661075</v>
      </c>
      <c r="BK477" s="31">
        <f t="shared" si="424"/>
        <v>14.9785576438953</v>
      </c>
      <c r="BL477" s="32">
        <f t="shared" si="471"/>
        <v>-33.9293365161619</v>
      </c>
      <c r="BM477" s="31">
        <f t="shared" si="472"/>
        <v>-88.7770017728503</v>
      </c>
      <c r="BO477">
        <f t="shared" si="473"/>
        <v>0</v>
      </c>
      <c r="BP477">
        <f t="shared" si="474"/>
        <v>0</v>
      </c>
    </row>
    <row r="478" spans="14:68">
      <c r="N478" s="7">
        <v>60</v>
      </c>
      <c r="O478" s="18">
        <f t="shared" si="422"/>
        <v>398107.170553497</v>
      </c>
      <c r="P478" s="86" t="str">
        <f t="shared" si="425"/>
        <v>75</v>
      </c>
      <c r="Q478" s="4" t="str">
        <f t="shared" si="426"/>
        <v>1+4085,5891703508i</v>
      </c>
      <c r="R478" s="4">
        <f t="shared" si="437"/>
        <v>4085.58929273217</v>
      </c>
      <c r="S478" s="4">
        <f t="shared" si="438"/>
        <v>1.57055156405975</v>
      </c>
      <c r="T478" s="4" t="str">
        <f t="shared" si="427"/>
        <v>1+39,2216560353677i</v>
      </c>
      <c r="U478" s="4">
        <f t="shared" si="439"/>
        <v>39.2344020236921</v>
      </c>
      <c r="V478" s="4">
        <f t="shared" si="440"/>
        <v>1.54530573048889</v>
      </c>
      <c r="W478" t="str">
        <f t="shared" si="428"/>
        <v>1-20,5738597506951i</v>
      </c>
      <c r="X478" s="4">
        <f t="shared" si="441"/>
        <v>20.5981480973721</v>
      </c>
      <c r="Y478" s="4">
        <f t="shared" si="442"/>
        <v>-1.52222918224364</v>
      </c>
      <c r="Z478" t="str">
        <f t="shared" si="429"/>
        <v>-0,29379036119275+6,45611573145688i</v>
      </c>
      <c r="AA478" s="4">
        <f t="shared" si="443"/>
        <v>6.46279684922053</v>
      </c>
      <c r="AB478" s="4">
        <f t="shared" si="444"/>
        <v>1.61627070085412</v>
      </c>
      <c r="AC478" s="67" t="str">
        <f t="shared" si="445"/>
        <v>-2,2949577299306+0,0508486617591672i</v>
      </c>
      <c r="AD478" s="68">
        <f t="shared" si="446"/>
        <v>7.21762532655257</v>
      </c>
      <c r="AE478" s="31">
        <f t="shared" si="447"/>
        <v>178.730722982297</v>
      </c>
      <c r="AF478" s="32" t="str">
        <f t="shared" si="448"/>
        <v>249,914648392112</v>
      </c>
      <c r="AG478" s="32" t="str">
        <f t="shared" si="430"/>
        <v>1+2626,4501809398i</v>
      </c>
      <c r="AH478" s="32">
        <f t="shared" si="449"/>
        <v>2626.45037131081</v>
      </c>
      <c r="AI478" s="32">
        <f t="shared" si="450"/>
        <v>1.57041558477324</v>
      </c>
      <c r="AJ478" s="32" t="str">
        <f t="shared" si="431"/>
        <v>1+39,2216560353677i</v>
      </c>
      <c r="AK478" s="32">
        <f t="shared" si="451"/>
        <v>39.2344020236921</v>
      </c>
      <c r="AL478" s="32">
        <f t="shared" si="452"/>
        <v>1.54530573048889</v>
      </c>
      <c r="AM478" s="32" t="str">
        <f t="shared" si="432"/>
        <v>1-3,96913080147232i</v>
      </c>
      <c r="AN478" s="32">
        <f t="shared" si="453"/>
        <v>4.09316495137886</v>
      </c>
      <c r="AO478" s="32">
        <f t="shared" si="454"/>
        <v>-1.32398854497309</v>
      </c>
      <c r="AP478" s="30" t="str">
        <f t="shared" si="455"/>
        <v>3,36005967896835-14,9069030319312i</v>
      </c>
      <c r="AQ478" s="32">
        <f t="shared" si="456"/>
        <v>23.6829759621961</v>
      </c>
      <c r="AR478" s="31">
        <f t="shared" si="457"/>
        <v>-77.2976444253061</v>
      </c>
      <c r="AS478" t="str">
        <f t="shared" si="433"/>
        <v>-0,000100699300699301</v>
      </c>
      <c r="AT478" t="str">
        <f t="shared" si="434"/>
        <v>0,562060338721117i</v>
      </c>
      <c r="AU478">
        <f t="shared" si="458"/>
        <v>0.562060338721117</v>
      </c>
      <c r="AV478">
        <f t="shared" si="459"/>
        <v>1.5707963267949</v>
      </c>
      <c r="AW478" t="str">
        <f t="shared" si="435"/>
        <v>1+28,7764584217237i</v>
      </c>
      <c r="AX478">
        <f t="shared" si="460"/>
        <v>28.7938284932239</v>
      </c>
      <c r="AY478">
        <f t="shared" si="461"/>
        <v>1.53605967708696</v>
      </c>
      <c r="AZ478" t="str">
        <f t="shared" si="436"/>
        <v>1+1375,75961858751i</v>
      </c>
      <c r="BA478">
        <f t="shared" si="462"/>
        <v>1375.75998202305</v>
      </c>
      <c r="BB478">
        <f t="shared" si="463"/>
        <v>1.57006945575553</v>
      </c>
      <c r="BC478" s="30" t="str">
        <f t="shared" si="464"/>
        <v>-0,00029107630490999+0,00855530620065394i</v>
      </c>
      <c r="BD478" s="32">
        <f t="shared" si="465"/>
        <v>-41.3502645414146</v>
      </c>
      <c r="BE478" s="31">
        <f t="shared" si="466"/>
        <v>91.948616779883</v>
      </c>
      <c r="BF478" s="30" t="str">
        <f t="shared" si="467"/>
        <v>0,00023298194470966-0,0196488669376884i</v>
      </c>
      <c r="BG478" s="68">
        <f t="shared" si="468"/>
        <v>-34.132639214862</v>
      </c>
      <c r="BH478" s="31">
        <f t="shared" si="469"/>
        <v>-89.3206602378203</v>
      </c>
      <c r="BI478" s="30" t="str">
        <f t="shared" si="423"/>
        <v>0,126555086185997+0,0330853856582313i</v>
      </c>
      <c r="BJ478" s="68">
        <f t="shared" si="470"/>
        <v>-17.6672885792185</v>
      </c>
      <c r="BK478" s="31">
        <f t="shared" si="424"/>
        <v>14.6509723545769</v>
      </c>
      <c r="BL478" s="32">
        <f t="shared" si="471"/>
        <v>-34.132639214862</v>
      </c>
      <c r="BM478" s="31">
        <f t="shared" si="472"/>
        <v>-89.3206602378203</v>
      </c>
      <c r="BO478">
        <f t="shared" si="473"/>
        <v>0</v>
      </c>
      <c r="BP478">
        <f t="shared" si="474"/>
        <v>0</v>
      </c>
    </row>
    <row r="479" spans="14:68">
      <c r="N479" s="7">
        <v>61</v>
      </c>
      <c r="O479" s="18">
        <f t="shared" si="422"/>
        <v>407380.277804113</v>
      </c>
      <c r="P479" s="86" t="str">
        <f t="shared" si="425"/>
        <v>75</v>
      </c>
      <c r="Q479" s="4" t="str">
        <f t="shared" si="426"/>
        <v>1+4180,75476735811i</v>
      </c>
      <c r="R479" s="4">
        <f t="shared" si="437"/>
        <v>4180.75488695374</v>
      </c>
      <c r="S479" s="4">
        <f t="shared" si="438"/>
        <v>1.57055713553959</v>
      </c>
      <c r="T479" s="4" t="str">
        <f t="shared" si="427"/>
        <v>1+40,1352457666379i</v>
      </c>
      <c r="U479" s="4">
        <f t="shared" si="439"/>
        <v>40.1477017119091</v>
      </c>
      <c r="V479" s="4">
        <f t="shared" si="440"/>
        <v>1.54588572449735</v>
      </c>
      <c r="W479" t="str">
        <f t="shared" si="428"/>
        <v>1-21,0530865070534i</v>
      </c>
      <c r="X479" s="4">
        <f t="shared" si="441"/>
        <v>21.0768226133228</v>
      </c>
      <c r="Y479" s="4">
        <f t="shared" si="442"/>
        <v>-1.52333302656851</v>
      </c>
      <c r="Z479" t="str">
        <f t="shared" si="429"/>
        <v>-0,35476482239802+6,60649798535336i</v>
      </c>
      <c r="AA479" s="4">
        <f t="shared" si="443"/>
        <v>6.61601645325109</v>
      </c>
      <c r="AB479" s="4">
        <f t="shared" si="444"/>
        <v>1.62444417612357</v>
      </c>
      <c r="AC479" s="67" t="str">
        <f t="shared" si="445"/>
        <v>-2,29334310153892+0,070785769579152i</v>
      </c>
      <c r="AD479" s="68">
        <f t="shared" si="446"/>
        <v>7.21351619867585</v>
      </c>
      <c r="AE479" s="31">
        <f t="shared" si="447"/>
        <v>178.232083710895</v>
      </c>
      <c r="AF479" s="32" t="str">
        <f t="shared" si="448"/>
        <v>249,914648392112</v>
      </c>
      <c r="AG479" s="32" t="str">
        <f t="shared" si="430"/>
        <v>1+2687,62806473022i</v>
      </c>
      <c r="AH479" s="32">
        <f t="shared" si="449"/>
        <v>2687.62825076786</v>
      </c>
      <c r="AI479" s="32">
        <f t="shared" si="450"/>
        <v>1.57042425151894</v>
      </c>
      <c r="AJ479" s="32" t="str">
        <f t="shared" si="431"/>
        <v>1+40,1352457666379i</v>
      </c>
      <c r="AK479" s="32">
        <f t="shared" si="451"/>
        <v>40.1477017119091</v>
      </c>
      <c r="AL479" s="32">
        <f t="shared" si="452"/>
        <v>1.54588572449735</v>
      </c>
      <c r="AM479" s="32" t="str">
        <f t="shared" si="432"/>
        <v>1-4,06158373459232i</v>
      </c>
      <c r="AN479" s="32">
        <f t="shared" si="453"/>
        <v>4.18287729118425</v>
      </c>
      <c r="AO479" s="32">
        <f t="shared" si="454"/>
        <v>-1.32938847874651</v>
      </c>
      <c r="AP479" s="30" t="str">
        <f t="shared" si="455"/>
        <v>3,36005807032875-15,2498059842557i</v>
      </c>
      <c r="AQ479" s="32">
        <f t="shared" si="456"/>
        <v>23.8711665606306</v>
      </c>
      <c r="AR479" s="31">
        <f t="shared" si="457"/>
        <v>-77.5743031992966</v>
      </c>
      <c r="AS479" t="str">
        <f t="shared" si="433"/>
        <v>-0,000100699300699301</v>
      </c>
      <c r="AT479" t="str">
        <f t="shared" si="434"/>
        <v>0,575152405852267i</v>
      </c>
      <c r="AU479">
        <f t="shared" si="458"/>
        <v>0.575152405852267</v>
      </c>
      <c r="AV479">
        <f t="shared" si="459"/>
        <v>1.5707963267949</v>
      </c>
      <c r="AW479" t="str">
        <f t="shared" si="435"/>
        <v>1+29,4467482456084i</v>
      </c>
      <c r="AX479">
        <f t="shared" si="460"/>
        <v>29.4637231564553</v>
      </c>
      <c r="AY479">
        <f t="shared" si="461"/>
        <v>1.5368497653906</v>
      </c>
      <c r="AZ479" t="str">
        <f t="shared" si="436"/>
        <v>1+1407,80517676345i</v>
      </c>
      <c r="BA479">
        <f t="shared" si="462"/>
        <v>1407.80553192618</v>
      </c>
      <c r="BB479">
        <f t="shared" si="463"/>
        <v>1.57008600135476</v>
      </c>
      <c r="BC479" s="30" t="str">
        <f t="shared" si="464"/>
        <v>-0,00027799080407368+0,00836100803441987i</v>
      </c>
      <c r="BD479" s="32">
        <f t="shared" si="465"/>
        <v>-41.5500288786012</v>
      </c>
      <c r="BE479" s="31">
        <f t="shared" si="466"/>
        <v>91.904296047647</v>
      </c>
      <c r="BF479" s="30" t="str">
        <f t="shared" si="467"/>
        <v>0,0000456879046397481-0,0191943378906506i</v>
      </c>
      <c r="BG479" s="68">
        <f t="shared" si="468"/>
        <v>-34.3365126799254</v>
      </c>
      <c r="BH479" s="31">
        <f t="shared" si="469"/>
        <v>-89.8636202414583</v>
      </c>
      <c r="BI479" s="30" t="str">
        <f t="shared" si="423"/>
        <v>0,126569685113001+0,0323327783496669i</v>
      </c>
      <c r="BJ479" s="68">
        <f t="shared" si="470"/>
        <v>-17.6788623179706</v>
      </c>
      <c r="BK479" s="31">
        <f t="shared" si="424"/>
        <v>14.3299928483504</v>
      </c>
      <c r="BL479" s="32">
        <f t="shared" si="471"/>
        <v>-34.3365126799254</v>
      </c>
      <c r="BM479" s="31">
        <f t="shared" si="472"/>
        <v>-89.8636202414583</v>
      </c>
      <c r="BO479">
        <f t="shared" si="473"/>
        <v>0</v>
      </c>
      <c r="BP479">
        <f t="shared" si="474"/>
        <v>0</v>
      </c>
    </row>
    <row r="480" spans="14:68">
      <c r="N480" s="7">
        <v>62</v>
      </c>
      <c r="O480" s="18">
        <f t="shared" si="422"/>
        <v>416869.383470336</v>
      </c>
      <c r="P480" s="86" t="str">
        <f t="shared" si="425"/>
        <v>75</v>
      </c>
      <c r="Q480" s="4" t="str">
        <f t="shared" si="426"/>
        <v>1+4278,13705588192i</v>
      </c>
      <c r="R480" s="4">
        <f t="shared" si="437"/>
        <v>4278.13717275522</v>
      </c>
      <c r="S480" s="4">
        <f t="shared" si="438"/>
        <v>1.57056258019708</v>
      </c>
      <c r="T480" s="4" t="str">
        <f t="shared" si="427"/>
        <v>1+41,0701157364665i</v>
      </c>
      <c r="U480" s="4">
        <f t="shared" si="439"/>
        <v>41.0822882347947</v>
      </c>
      <c r="V480" s="4">
        <f t="shared" si="440"/>
        <v>1.54645253242864</v>
      </c>
      <c r="W480" t="str">
        <f t="shared" si="428"/>
        <v>1-21,5434758885483i</v>
      </c>
      <c r="X480" s="4">
        <f t="shared" si="441"/>
        <v>21.5666722829569</v>
      </c>
      <c r="Y480" s="4">
        <f t="shared" si="442"/>
        <v>-1.52441185619028</v>
      </c>
      <c r="Z480" t="str">
        <f t="shared" si="429"/>
        <v>-0,41861292142808+6,76038309192903i</v>
      </c>
      <c r="AA480" s="4">
        <f t="shared" si="443"/>
        <v>6.77333125778051</v>
      </c>
      <c r="AB480" s="4">
        <f t="shared" si="444"/>
        <v>1.63263884641365</v>
      </c>
      <c r="AC480" s="67" t="str">
        <f t="shared" si="445"/>
        <v>-2,29140546456628+0,0907138997292503i</v>
      </c>
      <c r="AD480" s="68">
        <f t="shared" si="446"/>
        <v>7.20884012764335</v>
      </c>
      <c r="AE480" s="31">
        <f t="shared" si="447"/>
        <v>177.732915050993</v>
      </c>
      <c r="AF480" s="32" t="str">
        <f t="shared" si="448"/>
        <v>249,914648392112</v>
      </c>
      <c r="AG480" s="32" t="str">
        <f t="shared" si="430"/>
        <v>1+2750,23096449552i</v>
      </c>
      <c r="AH480" s="32">
        <f t="shared" si="449"/>
        <v>2750.23114629843</v>
      </c>
      <c r="AI480" s="32">
        <f t="shared" si="450"/>
        <v>1.57043272098548</v>
      </c>
      <c r="AJ480" s="32" t="str">
        <f t="shared" si="431"/>
        <v>1+41,0701157364665i</v>
      </c>
      <c r="AK480" s="32">
        <f t="shared" si="451"/>
        <v>41.0822882347947</v>
      </c>
      <c r="AL480" s="32">
        <f t="shared" si="452"/>
        <v>1.54645253242864</v>
      </c>
      <c r="AM480" s="32" t="str">
        <f t="shared" si="432"/>
        <v>1-4,15619017316982i</v>
      </c>
      <c r="AN480" s="32">
        <f t="shared" si="453"/>
        <v>4.2748002006589</v>
      </c>
      <c r="AO480" s="32">
        <f t="shared" si="454"/>
        <v>-1.33467940581075</v>
      </c>
      <c r="AP480" s="30" t="str">
        <f t="shared" si="455"/>
        <v>3,36005653408985-15,6007945855144i</v>
      </c>
      <c r="AQ480" s="32">
        <f t="shared" si="456"/>
        <v>24.0598592536214</v>
      </c>
      <c r="AR480" s="31">
        <f t="shared" si="457"/>
        <v>-77.8454605522196</v>
      </c>
      <c r="AS480" t="str">
        <f t="shared" si="433"/>
        <v>-0,000100699300699301</v>
      </c>
      <c r="AT480" t="str">
        <f t="shared" si="434"/>
        <v>0,588549426402041i</v>
      </c>
      <c r="AU480">
        <f t="shared" si="458"/>
        <v>0.588549426402041</v>
      </c>
      <c r="AV480">
        <f t="shared" si="459"/>
        <v>1.5707963267949</v>
      </c>
      <c r="AW480" t="str">
        <f t="shared" si="435"/>
        <v>1+30,1326511251867i</v>
      </c>
      <c r="AX480">
        <f t="shared" si="460"/>
        <v>30.1492398549651</v>
      </c>
      <c r="AY480">
        <f t="shared" si="461"/>
        <v>1.53762191005937</v>
      </c>
      <c r="AZ480" t="str">
        <f t="shared" si="436"/>
        <v>1+1440,5971718786i</v>
      </c>
      <c r="BA480">
        <f t="shared" si="462"/>
        <v>1440.59751895685</v>
      </c>
      <c r="BB480">
        <f t="shared" si="463"/>
        <v>1.57010217033055</v>
      </c>
      <c r="BC480" s="30" t="str">
        <f t="shared" si="464"/>
        <v>-0,00026549292141421+0,00817110301807884i</v>
      </c>
      <c r="BD480" s="32">
        <f t="shared" si="465"/>
        <v>-41.7498038104132</v>
      </c>
      <c r="BE480" s="31">
        <f t="shared" si="466"/>
        <v>91.860981831025</v>
      </c>
      <c r="BF480" s="30" t="str">
        <f t="shared" si="467"/>
        <v>-0,000132880688927192-0,0187473940054119i</v>
      </c>
      <c r="BG480" s="68">
        <f t="shared" si="468"/>
        <v>-34.5409636827698</v>
      </c>
      <c r="BH480" s="31">
        <f t="shared" si="469"/>
        <v>-90.4061031179819</v>
      </c>
      <c r="BI480" s="30" t="str">
        <f t="shared" si="423"/>
        <v>0,126583628496772+0,0315972686175083i</v>
      </c>
      <c r="BJ480" s="68">
        <f t="shared" si="470"/>
        <v>-17.6899445567918</v>
      </c>
      <c r="BK480" s="31">
        <f t="shared" si="424"/>
        <v>14.0155212788054</v>
      </c>
      <c r="BL480" s="32">
        <f t="shared" si="471"/>
        <v>-34.5409636827698</v>
      </c>
      <c r="BM480" s="31">
        <f t="shared" si="472"/>
        <v>-90.4061031179819</v>
      </c>
      <c r="BO480">
        <f t="shared" si="473"/>
        <v>0</v>
      </c>
      <c r="BP480">
        <f t="shared" si="474"/>
        <v>0</v>
      </c>
    </row>
    <row r="481" spans="14:68">
      <c r="N481" s="7">
        <v>63</v>
      </c>
      <c r="O481" s="18">
        <f t="shared" si="422"/>
        <v>426579.518801593</v>
      </c>
      <c r="P481" s="86" t="str">
        <f t="shared" si="425"/>
        <v>75</v>
      </c>
      <c r="Q481" s="4" t="str">
        <f t="shared" si="426"/>
        <v>1+4377,78766930058i</v>
      </c>
      <c r="R481" s="4">
        <f t="shared" si="437"/>
        <v>4377.78778351352</v>
      </c>
      <c r="S481" s="4">
        <f t="shared" si="438"/>
        <v>1.57056790091906</v>
      </c>
      <c r="T481" s="4" t="str">
        <f t="shared" si="427"/>
        <v>1+42,0267616252857i</v>
      </c>
      <c r="U481" s="4">
        <f t="shared" si="439"/>
        <v>42.0386571230408</v>
      </c>
      <c r="V481" s="4">
        <f t="shared" si="440"/>
        <v>1.54700645335418</v>
      </c>
      <c r="W481" t="str">
        <f t="shared" si="428"/>
        <v>1-22,0452879061208i</v>
      </c>
      <c r="X481" s="4">
        <f t="shared" si="441"/>
        <v>22.0679568348263</v>
      </c>
      <c r="Y481" s="4">
        <f t="shared" si="442"/>
        <v>-1.525466233068</v>
      </c>
      <c r="Z481" t="str">
        <f t="shared" si="429"/>
        <v>-0,48547008866122+6,91785264310427i</v>
      </c>
      <c r="AA481" s="4">
        <f t="shared" si="443"/>
        <v>6.93486599716891</v>
      </c>
      <c r="AB481" s="4">
        <f t="shared" si="444"/>
        <v>1.64085787970988</v>
      </c>
      <c r="AC481" s="67" t="str">
        <f t="shared" si="445"/>
        <v>-2,28914243572304+0,110635363678476i</v>
      </c>
      <c r="AD481" s="68">
        <f t="shared" si="446"/>
        <v>7.20358890279393</v>
      </c>
      <c r="AE481" s="31">
        <f t="shared" si="447"/>
        <v>177.233020262636</v>
      </c>
      <c r="AF481" s="32" t="str">
        <f t="shared" si="448"/>
        <v>249,914648392112</v>
      </c>
      <c r="AG481" s="32" t="str">
        <f t="shared" si="430"/>
        <v>1+2814,2920731218i</v>
      </c>
      <c r="AH481" s="32">
        <f t="shared" si="449"/>
        <v>2814.29225078637</v>
      </c>
      <c r="AI481" s="32">
        <f t="shared" si="450"/>
        <v>1.57044099766347</v>
      </c>
      <c r="AJ481" s="32" t="str">
        <f t="shared" si="431"/>
        <v>1+42,0267616252857i</v>
      </c>
      <c r="AK481" s="32">
        <f t="shared" si="451"/>
        <v>42.0386571230408</v>
      </c>
      <c r="AL481" s="32">
        <f t="shared" si="452"/>
        <v>1.54700645335418</v>
      </c>
      <c r="AM481" s="32" t="str">
        <f t="shared" si="432"/>
        <v>1-4,25300027879081i</v>
      </c>
      <c r="AN481" s="32">
        <f t="shared" si="453"/>
        <v>4.36898287607021</v>
      </c>
      <c r="AO481" s="32">
        <f t="shared" si="454"/>
        <v>-1.33986294606076</v>
      </c>
      <c r="AP481" s="30" t="str">
        <f t="shared" si="455"/>
        <v>3,36005506699307-15,9600549345128i</v>
      </c>
      <c r="AQ481" s="32">
        <f t="shared" si="456"/>
        <v>24.2490338928609</v>
      </c>
      <c r="AR481" s="31">
        <f t="shared" si="457"/>
        <v>-78.1111924189813</v>
      </c>
      <c r="AS481" t="str">
        <f t="shared" si="433"/>
        <v>-0,000100699300699301</v>
      </c>
      <c r="AT481" t="str">
        <f t="shared" si="434"/>
        <v>0,602258503648066i</v>
      </c>
      <c r="AU481">
        <f t="shared" si="458"/>
        <v>0.602258503648066</v>
      </c>
      <c r="AV481">
        <f t="shared" si="459"/>
        <v>1.5707963267949</v>
      </c>
      <c r="AW481" t="str">
        <f t="shared" si="435"/>
        <v>1+30,8345307352443i</v>
      </c>
      <c r="AX481">
        <f t="shared" si="460"/>
        <v>30.8507420601632</v>
      </c>
      <c r="AY481">
        <f t="shared" si="461"/>
        <v>1.5383765168096</v>
      </c>
      <c r="AZ481" t="str">
        <f t="shared" si="436"/>
        <v>1+1474,15299068285i</v>
      </c>
      <c r="BA481">
        <f t="shared" si="462"/>
        <v>1474.15332986063</v>
      </c>
      <c r="BB481">
        <f t="shared" si="463"/>
        <v>1.57011797125586</v>
      </c>
      <c r="BC481" s="30" t="str">
        <f t="shared" si="464"/>
        <v>-0,000253556326275485+0,00798549312331276i</v>
      </c>
      <c r="BD481" s="32">
        <f t="shared" si="465"/>
        <v>-41.9495888610638</v>
      </c>
      <c r="BE481" s="31">
        <f t="shared" si="466"/>
        <v>91.8186513753775</v>
      </c>
      <c r="BF481" s="30" t="str">
        <f t="shared" si="467"/>
        <v>-0,000303051389526427-0,0183079834751202i</v>
      </c>
      <c r="BG481" s="68">
        <f t="shared" si="468"/>
        <v>-34.7459999582699</v>
      </c>
      <c r="BH481" s="31">
        <f t="shared" si="469"/>
        <v>-90.9483283619861</v>
      </c>
      <c r="BI481" s="30" t="str">
        <f t="shared" si="423"/>
        <v>0,126596945708376+0,0308784695277753i</v>
      </c>
      <c r="BJ481" s="68">
        <f t="shared" si="470"/>
        <v>-17.7005549682029</v>
      </c>
      <c r="BK481" s="31">
        <f t="shared" si="424"/>
        <v>13.7074589563962</v>
      </c>
      <c r="BL481" s="32">
        <f t="shared" si="471"/>
        <v>-34.7459999582699</v>
      </c>
      <c r="BM481" s="31">
        <f t="shared" si="472"/>
        <v>-90.9483283619861</v>
      </c>
      <c r="BO481">
        <f t="shared" si="473"/>
        <v>0</v>
      </c>
      <c r="BP481">
        <f t="shared" si="474"/>
        <v>0</v>
      </c>
    </row>
    <row r="482" spans="14:68">
      <c r="N482" s="7">
        <v>64</v>
      </c>
      <c r="O482" s="18">
        <f t="shared" si="422"/>
        <v>436515.832240166</v>
      </c>
      <c r="P482" s="86" t="str">
        <f t="shared" si="425"/>
        <v>75</v>
      </c>
      <c r="Q482" s="4" t="str">
        <f t="shared" si="426"/>
        <v>1+4479,75944368838i</v>
      </c>
      <c r="R482" s="4">
        <f t="shared" si="437"/>
        <v>4479.75955530152</v>
      </c>
      <c r="S482" s="4">
        <f t="shared" si="438"/>
        <v>1.57057310052662</v>
      </c>
      <c r="T482" s="4" t="str">
        <f t="shared" si="427"/>
        <v>1+43,0056906594084i</v>
      </c>
      <c r="U482" s="4">
        <f t="shared" si="439"/>
        <v>43.017315456601</v>
      </c>
      <c r="V482" s="4">
        <f t="shared" si="440"/>
        <v>1.54754777960974</v>
      </c>
      <c r="W482" t="str">
        <f t="shared" si="428"/>
        <v>1-22,558788627145i</v>
      </c>
      <c r="X482" s="4">
        <f t="shared" si="441"/>
        <v>22.5809420601579</v>
      </c>
      <c r="Y482" s="4">
        <f t="shared" si="442"/>
        <v>-1.52649670686363</v>
      </c>
      <c r="Z482" t="str">
        <f t="shared" si="429"/>
        <v>-0,55547813711286+7,07899013131948i</v>
      </c>
      <c r="AA482" s="4">
        <f t="shared" si="443"/>
        <v>7.10075047020588</v>
      </c>
      <c r="AB482" s="4">
        <f t="shared" si="444"/>
        <v>1.64910442382642</v>
      </c>
      <c r="AC482" s="67" t="str">
        <f t="shared" si="445"/>
        <v>-2,28655123326324+0,130552287749531i</v>
      </c>
      <c r="AD482" s="68">
        <f t="shared" si="446"/>
        <v>7.19775336699042</v>
      </c>
      <c r="AE482" s="31">
        <f t="shared" si="447"/>
        <v>176.732204084016</v>
      </c>
      <c r="AF482" s="32" t="str">
        <f t="shared" si="448"/>
        <v>249,914648392112</v>
      </c>
      <c r="AG482" s="32" t="str">
        <f t="shared" si="430"/>
        <v>1+2879,84535665681i</v>
      </c>
      <c r="AH482" s="32">
        <f t="shared" si="449"/>
        <v>2879.84553027724</v>
      </c>
      <c r="AI482" s="32">
        <f t="shared" si="450"/>
        <v>1.57044908594132</v>
      </c>
      <c r="AJ482" s="32" t="str">
        <f t="shared" si="431"/>
        <v>1+43,0056906594084i</v>
      </c>
      <c r="AK482" s="32">
        <f t="shared" si="451"/>
        <v>43.017315456601</v>
      </c>
      <c r="AL482" s="32">
        <f t="shared" si="452"/>
        <v>1.54754777960974</v>
      </c>
      <c r="AM482" s="32" t="str">
        <f t="shared" si="432"/>
        <v>1-4,35206538145472i</v>
      </c>
      <c r="AN482" s="32">
        <f t="shared" si="453"/>
        <v>4.46547568400687</v>
      </c>
      <c r="AO482" s="32">
        <f t="shared" si="454"/>
        <v>-1.34494073317183</v>
      </c>
      <c r="AP482" s="30" t="str">
        <f t="shared" si="455"/>
        <v>3,36005366592649-16,3277775158468i</v>
      </c>
      <c r="AQ482" s="32">
        <f t="shared" si="456"/>
        <v>24.4386710382906</v>
      </c>
      <c r="AR482" s="31">
        <f t="shared" si="457"/>
        <v>-78.3715759041123</v>
      </c>
      <c r="AS482" t="str">
        <f t="shared" si="433"/>
        <v>-0,000100699300699301</v>
      </c>
      <c r="AT482" t="str">
        <f t="shared" si="434"/>
        <v>0,616286906324558i</v>
      </c>
      <c r="AU482">
        <f t="shared" si="458"/>
        <v>0.616286906324558</v>
      </c>
      <c r="AV482">
        <f t="shared" si="459"/>
        <v>1.5707963267949</v>
      </c>
      <c r="AW482" t="str">
        <f t="shared" si="435"/>
        <v>1+31,552759221641i</v>
      </c>
      <c r="AX482">
        <f t="shared" si="460"/>
        <v>31.5686017190951</v>
      </c>
      <c r="AY482">
        <f t="shared" si="461"/>
        <v>1.53911398230426</v>
      </c>
      <c r="AZ482" t="str">
        <f t="shared" si="436"/>
        <v>1+1508,49042491547i</v>
      </c>
      <c r="BA482">
        <f t="shared" si="462"/>
        <v>1508.49075637263</v>
      </c>
      <c r="BB482">
        <f t="shared" si="463"/>
        <v>1.57013341250854</v>
      </c>
      <c r="BC482" s="30" t="str">
        <f t="shared" si="464"/>
        <v>-0,000242155862848049+0,0078040824220979i</v>
      </c>
      <c r="BD482" s="32">
        <f t="shared" si="465"/>
        <v>-42.1493835760884</v>
      </c>
      <c r="BE482" s="31">
        <f t="shared" si="466"/>
        <v>91.7772824336058</v>
      </c>
      <c r="BF482" s="30" t="str">
        <f t="shared" si="467"/>
        <v>-0,000465139027153651-0,0178760482886227i</v>
      </c>
      <c r="BG482" s="68">
        <f t="shared" si="468"/>
        <v>-34.951630209098</v>
      </c>
      <c r="BH482" s="31">
        <f t="shared" si="469"/>
        <v>-91.4905134823781</v>
      </c>
      <c r="BI482" s="30" t="str">
        <f t="shared" si="423"/>
        <v>0,126609664808657+0,0301760028043034i</v>
      </c>
      <c r="BJ482" s="68">
        <f t="shared" si="470"/>
        <v>-17.7107125377979</v>
      </c>
      <c r="BK482" s="31">
        <f t="shared" si="424"/>
        <v>13.4057065294935</v>
      </c>
      <c r="BL482" s="32">
        <f t="shared" si="471"/>
        <v>-34.951630209098</v>
      </c>
      <c r="BM482" s="31">
        <f t="shared" si="472"/>
        <v>-91.4905134823781</v>
      </c>
      <c r="BO482">
        <f t="shared" si="473"/>
        <v>0</v>
      </c>
      <c r="BP482">
        <f t="shared" si="474"/>
        <v>0</v>
      </c>
    </row>
    <row r="483" spans="14:68">
      <c r="N483" s="7">
        <v>65</v>
      </c>
      <c r="O483" s="18">
        <f t="shared" si="422"/>
        <v>446683.592150964</v>
      </c>
      <c r="P483" s="86" t="str">
        <f t="shared" si="425"/>
        <v>75</v>
      </c>
      <c r="Q483" s="4" t="str">
        <f t="shared" si="426"/>
        <v>1+4584,10644582986i</v>
      </c>
      <c r="R483" s="4">
        <f t="shared" si="437"/>
        <v>4584.10655490237</v>
      </c>
      <c r="S483" s="4">
        <f t="shared" si="438"/>
        <v>1.57057818177668</v>
      </c>
      <c r="T483" s="4" t="str">
        <f t="shared" si="427"/>
        <v>1+44,0074218799667i</v>
      </c>
      <c r="U483" s="4">
        <f t="shared" si="439"/>
        <v>44.0187821335549</v>
      </c>
      <c r="V483" s="4">
        <f t="shared" si="440"/>
        <v>1.54807679694392</v>
      </c>
      <c r="W483" t="str">
        <f t="shared" si="428"/>
        <v>1-23,0842503165004i</v>
      </c>
      <c r="X483" s="4">
        <f t="shared" si="441"/>
        <v>23.1058999537964</v>
      </c>
      <c r="Y483" s="4">
        <f t="shared" si="442"/>
        <v>-1.52750381518914</v>
      </c>
      <c r="Z483" t="str">
        <f t="shared" si="429"/>
        <v>-0,62878556323992+7,24388099380386i</v>
      </c>
      <c r="AA483" s="4">
        <f t="shared" si="443"/>
        <v>7.27111979937972</v>
      </c>
      <c r="AB483" s="4">
        <f t="shared" si="444"/>
        <v>1.65738160347359</v>
      </c>
      <c r="AC483" s="67" t="str">
        <f t="shared" si="445"/>
        <v>-2,28362868375714+0,150466587405466i</v>
      </c>
      <c r="AD483" s="68">
        <f t="shared" si="446"/>
        <v>7.19132341114898</v>
      </c>
      <c r="AE483" s="31">
        <f t="shared" si="447"/>
        <v>176.230272893752</v>
      </c>
      <c r="AF483" s="32" t="str">
        <f t="shared" si="448"/>
        <v>249,914648392112</v>
      </c>
      <c r="AG483" s="32" t="str">
        <f t="shared" si="430"/>
        <v>1+2946,9255723192i</v>
      </c>
      <c r="AH483" s="32">
        <f t="shared" si="449"/>
        <v>2946.92574198755</v>
      </c>
      <c r="AI483" s="32">
        <f t="shared" si="450"/>
        <v>1.57045699010753</v>
      </c>
      <c r="AJ483" s="32" t="str">
        <f t="shared" si="431"/>
        <v>1+44,0074218799667i</v>
      </c>
      <c r="AK483" s="32">
        <f t="shared" si="451"/>
        <v>44.0187821335549</v>
      </c>
      <c r="AL483" s="32">
        <f t="shared" si="452"/>
        <v>1.54807679694392</v>
      </c>
      <c r="AM483" s="32" t="str">
        <f t="shared" si="432"/>
        <v>1-4,4534380067903i</v>
      </c>
      <c r="AN483" s="32">
        <f t="shared" si="453"/>
        <v>4.56433018966906</v>
      </c>
      <c r="AO483" s="32">
        <f t="shared" si="454"/>
        <v>-1.34991441158516</v>
      </c>
      <c r="AP483" s="30" t="str">
        <f t="shared" si="455"/>
        <v>3,36005232791828-16,7041573008997i</v>
      </c>
      <c r="AQ483" s="32">
        <f t="shared" si="456"/>
        <v>24.6287519416542</v>
      </c>
      <c r="AR483" s="31">
        <f t="shared" si="457"/>
        <v>-78.6266891006783</v>
      </c>
      <c r="AS483" t="str">
        <f t="shared" si="433"/>
        <v>-0,000100699300699301</v>
      </c>
      <c r="AT483" t="str">
        <f t="shared" si="434"/>
        <v>0,630642072476307i</v>
      </c>
      <c r="AU483">
        <f t="shared" si="458"/>
        <v>0.630642072476307</v>
      </c>
      <c r="AV483">
        <f t="shared" si="459"/>
        <v>1.5707963267949</v>
      </c>
      <c r="AW483" t="str">
        <f t="shared" si="435"/>
        <v>1+32,2877173986273i</v>
      </c>
      <c r="AX483">
        <f t="shared" si="460"/>
        <v>32.3031994516584</v>
      </c>
      <c r="AY483">
        <f t="shared" si="461"/>
        <v>1.53983469434686</v>
      </c>
      <c r="AZ483" t="str">
        <f t="shared" si="436"/>
        <v>1+1543,62768073863i</v>
      </c>
      <c r="BA483">
        <f t="shared" si="462"/>
        <v>1543.6280046509</v>
      </c>
      <c r="BB483">
        <f t="shared" si="463"/>
        <v>1.57014850227569</v>
      </c>
      <c r="BC483" s="30" t="str">
        <f t="shared" si="464"/>
        <v>-0,000231267498189117+0,00762677704759104i</v>
      </c>
      <c r="BD483" s="32">
        <f t="shared" si="465"/>
        <v>-42.3491875213923</v>
      </c>
      <c r="BE483" s="31">
        <f t="shared" si="466"/>
        <v>91.736853255292</v>
      </c>
      <c r="BF483" s="30" t="str">
        <f t="shared" si="467"/>
        <v>-0,000619446022767939-0,0174515248617298i</v>
      </c>
      <c r="BG483" s="68">
        <f t="shared" si="468"/>
        <v>-35.1578641102433</v>
      </c>
      <c r="BH483" s="31">
        <f t="shared" si="469"/>
        <v>-92.0328738509558</v>
      </c>
      <c r="BI483" s="30" t="str">
        <f t="shared" si="423"/>
        <v>0,12662181260619+0,0294894986416085i</v>
      </c>
      <c r="BJ483" s="68">
        <f t="shared" si="470"/>
        <v>-17.7204355797381</v>
      </c>
      <c r="BK483" s="31">
        <f t="shared" si="424"/>
        <v>13.1101641546137</v>
      </c>
      <c r="BL483" s="32">
        <f t="shared" si="471"/>
        <v>-35.1578641102433</v>
      </c>
      <c r="BM483" s="31">
        <f t="shared" si="472"/>
        <v>-92.0328738509558</v>
      </c>
      <c r="BO483">
        <f t="shared" si="473"/>
        <v>0</v>
      </c>
      <c r="BP483">
        <f t="shared" si="474"/>
        <v>0</v>
      </c>
    </row>
    <row r="484" spans="14:68">
      <c r="N484" s="7">
        <v>66</v>
      </c>
      <c r="O484" s="18">
        <f t="shared" ref="O484:O518" si="475">10^(5+(N484/100))</f>
        <v>457088.189614875</v>
      </c>
      <c r="P484" s="86" t="str">
        <f t="shared" si="425"/>
        <v>75</v>
      </c>
      <c r="Q484" s="4" t="str">
        <f t="shared" si="426"/>
        <v>1+4690,88400188671i</v>
      </c>
      <c r="R484" s="4">
        <f t="shared" si="437"/>
        <v>4690.88410847643</v>
      </c>
      <c r="S484" s="4">
        <f t="shared" si="438"/>
        <v>1.57058314736338</v>
      </c>
      <c r="T484" s="4" t="str">
        <f t="shared" si="427"/>
        <v>1+45,0324864181125i</v>
      </c>
      <c r="U484" s="4">
        <f t="shared" si="439"/>
        <v>45.0435881452342</v>
      </c>
      <c r="V484" s="4">
        <f t="shared" si="440"/>
        <v>1.54859378466363</v>
      </c>
      <c r="W484" t="str">
        <f t="shared" si="428"/>
        <v>1-23,6219515809295i</v>
      </c>
      <c r="X484" s="4">
        <f t="shared" si="441"/>
        <v>23.6431088584344</v>
      </c>
      <c r="Y484" s="4">
        <f t="shared" si="442"/>
        <v>-1.52848808385024</v>
      </c>
      <c r="Z484" t="str">
        <f t="shared" si="429"/>
        <v>-0,70554786192167+7,41261265787521i</v>
      </c>
      <c r="AA484" s="4">
        <f t="shared" si="443"/>
        <v>7.44611470507633</v>
      </c>
      <c r="AB484" s="4">
        <f t="shared" si="444"/>
        <v>1.66569251722484</v>
      </c>
      <c r="AC484" s="67" t="str">
        <f t="shared" si="445"/>
        <v>-2,28037122984277+0,170379941371395i</v>
      </c>
      <c r="AD484" s="68">
        <f t="shared" si="446"/>
        <v>7.18428796869407</v>
      </c>
      <c r="AE484" s="31">
        <f t="shared" si="447"/>
        <v>175.72703487896</v>
      </c>
      <c r="AF484" s="32" t="str">
        <f t="shared" si="448"/>
        <v>249,914648392112</v>
      </c>
      <c r="AG484" s="32" t="str">
        <f t="shared" si="430"/>
        <v>1+3015,56828692717i</v>
      </c>
      <c r="AH484" s="32">
        <f t="shared" si="449"/>
        <v>3015.56845273339</v>
      </c>
      <c r="AI484" s="32">
        <f t="shared" si="450"/>
        <v>1.570464714353</v>
      </c>
      <c r="AJ484" s="32" t="str">
        <f t="shared" si="431"/>
        <v>1+45,0324864181125i</v>
      </c>
      <c r="AK484" s="32">
        <f t="shared" si="451"/>
        <v>45.0435881452342</v>
      </c>
      <c r="AL484" s="32">
        <f t="shared" si="452"/>
        <v>1.54859378466363</v>
      </c>
      <c r="AM484" s="32" t="str">
        <f t="shared" si="432"/>
        <v>1-4,55717190390527i</v>
      </c>
      <c r="AN484" s="32">
        <f t="shared" si="453"/>
        <v>4.6655991857149</v>
      </c>
      <c r="AO484" s="32">
        <f t="shared" si="454"/>
        <v>-1.35478563367721</v>
      </c>
      <c r="AP484" s="30" t="str">
        <f t="shared" si="455"/>
        <v>3,36005105013035-17,0893938512183i</v>
      </c>
      <c r="AQ484" s="32">
        <f t="shared" si="456"/>
        <v>24.8192585296731</v>
      </c>
      <c r="AR484" s="31">
        <f t="shared" si="457"/>
        <v>-78.876610919889</v>
      </c>
      <c r="AS484" t="str">
        <f t="shared" si="433"/>
        <v>-0,000100699300699301</v>
      </c>
      <c r="AT484" t="str">
        <f t="shared" si="434"/>
        <v>0,645331613402415i</v>
      </c>
      <c r="AU484">
        <f t="shared" si="458"/>
        <v>0.645331613402415</v>
      </c>
      <c r="AV484">
        <f t="shared" si="459"/>
        <v>1.5707963267949</v>
      </c>
      <c r="AW484" t="str">
        <f t="shared" si="435"/>
        <v>1+33,0397949507566i</v>
      </c>
      <c r="AX484">
        <f t="shared" si="460"/>
        <v>33.0549247524184</v>
      </c>
      <c r="AY484">
        <f t="shared" si="461"/>
        <v>1.54053903207193</v>
      </c>
      <c r="AZ484" t="str">
        <f t="shared" si="436"/>
        <v>1+1579,58338839042i</v>
      </c>
      <c r="BA484">
        <f t="shared" si="462"/>
        <v>1579.58370492955</v>
      </c>
      <c r="BB484">
        <f t="shared" si="463"/>
        <v>1.57016324855809</v>
      </c>
      <c r="BC484" s="30" t="str">
        <f t="shared" si="464"/>
        <v>-0,000220868272503575+0,00745348515533088i</v>
      </c>
      <c r="BD484" s="32">
        <f t="shared" si="465"/>
        <v>-42.5490002823414</v>
      </c>
      <c r="BE484" s="31">
        <f t="shared" si="466"/>
        <v>91.6973425760393</v>
      </c>
      <c r="BF484" s="30" t="str">
        <f t="shared" si="467"/>
        <v>-0,000766262709575613-0,0170343446335967i</v>
      </c>
      <c r="BG484" s="68">
        <f t="shared" si="468"/>
        <v>-35.3647123136473</v>
      </c>
      <c r="BH484" s="31">
        <f t="shared" si="469"/>
        <v>-92.5756225450009</v>
      </c>
      <c r="BI484" s="30" t="str">
        <f t="shared" si="423"/>
        <v>0,126633414712692+0,0288185955213523i</v>
      </c>
      <c r="BJ484" s="68">
        <f t="shared" si="470"/>
        <v>-17.7297417526683</v>
      </c>
      <c r="BK484" s="31">
        <f t="shared" si="424"/>
        <v>12.8207316561503</v>
      </c>
      <c r="BL484" s="32">
        <f t="shared" si="471"/>
        <v>-35.3647123136473</v>
      </c>
      <c r="BM484" s="31">
        <f t="shared" si="472"/>
        <v>-92.5756225450009</v>
      </c>
      <c r="BO484">
        <f t="shared" si="473"/>
        <v>0</v>
      </c>
      <c r="BP484">
        <f t="shared" si="474"/>
        <v>0</v>
      </c>
    </row>
    <row r="485" spans="14:68">
      <c r="N485" s="7">
        <v>67</v>
      </c>
      <c r="O485" s="18">
        <f t="shared" si="475"/>
        <v>467735.141287199</v>
      </c>
      <c r="P485" s="86" t="str">
        <f t="shared" si="425"/>
        <v>75</v>
      </c>
      <c r="Q485" s="4" t="str">
        <f t="shared" si="426"/>
        <v>1+4800,14872673259i</v>
      </c>
      <c r="R485" s="4">
        <f t="shared" si="437"/>
        <v>4800.14883089603</v>
      </c>
      <c r="S485" s="4">
        <f t="shared" si="438"/>
        <v>1.57058799991953</v>
      </c>
      <c r="T485" s="4" t="str">
        <f t="shared" si="427"/>
        <v>1+46,0814277766329i</v>
      </c>
      <c r="U485" s="4">
        <f t="shared" si="439"/>
        <v>46.0922768577669</v>
      </c>
      <c r="V485" s="4">
        <f t="shared" si="440"/>
        <v>1.54909901577654</v>
      </c>
      <c r="W485" t="str">
        <f t="shared" si="428"/>
        <v>1-24,1721775167605i</v>
      </c>
      <c r="X485" s="4">
        <f t="shared" si="441"/>
        <v>24.1928536122092</v>
      </c>
      <c r="Y485" s="4">
        <f t="shared" si="442"/>
        <v>-1.52945002708648</v>
      </c>
      <c r="Z485" t="str">
        <f t="shared" si="429"/>
        <v>-0,78592785628537+7,58527458729534i</v>
      </c>
      <c r="AA485" s="4">
        <f t="shared" si="443"/>
        <v>7.62588179556658</v>
      </c>
      <c r="AB485" s="4">
        <f t="shared" si="444"/>
        <v>1.67404023437261</v>
      </c>
      <c r="AC485" s="67" t="str">
        <f t="shared" si="445"/>
        <v>-2,27677493901897+0,1902937655857i</v>
      </c>
      <c r="AD485" s="68">
        <f t="shared" si="446"/>
        <v>7.17663501001053</v>
      </c>
      <c r="AE485" s="31">
        <f t="shared" si="447"/>
        <v>175.222300209717</v>
      </c>
      <c r="AF485" s="32" t="str">
        <f t="shared" si="448"/>
        <v>249,914648392112</v>
      </c>
      <c r="AG485" s="32" t="str">
        <f t="shared" si="430"/>
        <v>1+3085,80989575666i</v>
      </c>
      <c r="AH485" s="32">
        <f t="shared" si="449"/>
        <v>3085.81005778867</v>
      </c>
      <c r="AI485" s="32">
        <f t="shared" si="450"/>
        <v>1.57047226277321</v>
      </c>
      <c r="AJ485" s="32" t="str">
        <f t="shared" si="431"/>
        <v>1+46,0814277766329i</v>
      </c>
      <c r="AK485" s="32">
        <f t="shared" si="451"/>
        <v>46.0922768577669</v>
      </c>
      <c r="AL485" s="32">
        <f t="shared" si="452"/>
        <v>1.54909901577654</v>
      </c>
      <c r="AM485" s="32" t="str">
        <f t="shared" si="432"/>
        <v>1-4,66332207388501i</v>
      </c>
      <c r="AN485" s="32">
        <f t="shared" si="453"/>
        <v>4.76933672168187</v>
      </c>
      <c r="AO485" s="32">
        <f t="shared" si="454"/>
        <v>-1.35955605710674</v>
      </c>
      <c r="AP485" s="30" t="str">
        <f t="shared" si="455"/>
        <v>3,36004982985237-17,4836914243235i</v>
      </c>
      <c r="AQ485" s="32">
        <f t="shared" si="456"/>
        <v>25.0101733869337</v>
      </c>
      <c r="AR485" s="31">
        <f t="shared" si="457"/>
        <v>-79.1214209310629</v>
      </c>
      <c r="AS485" t="str">
        <f t="shared" si="433"/>
        <v>-0,000100699300699301</v>
      </c>
      <c r="AT485" t="str">
        <f t="shared" si="434"/>
        <v>0,660363317691926i</v>
      </c>
      <c r="AU485">
        <f t="shared" si="458"/>
        <v>0.660363317691926</v>
      </c>
      <c r="AV485">
        <f t="shared" si="459"/>
        <v>1.5707963267949</v>
      </c>
      <c r="AW485" t="str">
        <f t="shared" si="435"/>
        <v>1+33,8093906395023i</v>
      </c>
      <c r="AX485">
        <f t="shared" si="460"/>
        <v>33.8241761971296</v>
      </c>
      <c r="AY485">
        <f t="shared" si="461"/>
        <v>1.5412273661317</v>
      </c>
      <c r="AZ485" t="str">
        <f t="shared" si="436"/>
        <v>1+1616,37661206301i</v>
      </c>
      <c r="BA485">
        <f t="shared" si="462"/>
        <v>1616.37692139683</v>
      </c>
      <c r="BB485">
        <f t="shared" si="463"/>
        <v>1.5701776591744</v>
      </c>
      <c r="BC485" s="30" t="str">
        <f t="shared" si="464"/>
        <v>-0,000210936251591055+0,00728411688478683i</v>
      </c>
      <c r="BD485" s="32">
        <f t="shared" si="465"/>
        <v>-42.7488214628934</v>
      </c>
      <c r="BE485" s="31">
        <f t="shared" si="466"/>
        <v>91.6587296070135</v>
      </c>
      <c r="BF485" s="30" t="str">
        <f t="shared" si="467"/>
        <v>-0,00090586765961935-0,0166244346297814i</v>
      </c>
      <c r="BG485" s="68">
        <f t="shared" si="468"/>
        <v>-35.5721864528829</v>
      </c>
      <c r="BH485" s="31">
        <f t="shared" si="469"/>
        <v>-93.1189701832699</v>
      </c>
      <c r="BI485" s="30" t="str">
        <f t="shared" si="423"/>
        <v>0,126644495596049+0,0281629400323742i</v>
      </c>
      <c r="BJ485" s="68">
        <f t="shared" si="470"/>
        <v>-17.7386480759597</v>
      </c>
      <c r="BK485" s="31">
        <f t="shared" si="424"/>
        <v>12.5373086759506</v>
      </c>
      <c r="BL485" s="32">
        <f t="shared" si="471"/>
        <v>-35.5721864528829</v>
      </c>
      <c r="BM485" s="31">
        <f t="shared" si="472"/>
        <v>-93.1189701832699</v>
      </c>
      <c r="BO485">
        <f t="shared" si="473"/>
        <v>0</v>
      </c>
      <c r="BP485">
        <f t="shared" si="474"/>
        <v>0</v>
      </c>
    </row>
    <row r="486" spans="14:68">
      <c r="N486" s="7">
        <v>68</v>
      </c>
      <c r="O486" s="18">
        <f t="shared" si="475"/>
        <v>478630.092322639</v>
      </c>
      <c r="P486" s="86" t="str">
        <f t="shared" si="425"/>
        <v>75</v>
      </c>
      <c r="Q486" s="4" t="str">
        <f t="shared" si="426"/>
        <v>1+4911,95855397083i</v>
      </c>
      <c r="R486" s="4">
        <f t="shared" si="437"/>
        <v>4911.95865576322</v>
      </c>
      <c r="S486" s="4">
        <f t="shared" si="438"/>
        <v>1.57059274201803</v>
      </c>
      <c r="T486" s="4" t="str">
        <f t="shared" si="427"/>
        <v>1+47,15480211812i</v>
      </c>
      <c r="U486" s="4">
        <f t="shared" si="439"/>
        <v>47.1654043001759</v>
      </c>
      <c r="V486" s="4">
        <f t="shared" si="440"/>
        <v>1.54959275713057</v>
      </c>
      <c r="W486" t="str">
        <f t="shared" si="428"/>
        <v>1-24,7352198610674i</v>
      </c>
      <c r="X486" s="4">
        <f t="shared" si="441"/>
        <v>24.7554256997399</v>
      </c>
      <c r="Y486" s="4">
        <f t="shared" si="442"/>
        <v>-1.5303901478079</v>
      </c>
      <c r="Z486" t="str">
        <f t="shared" si="429"/>
        <v>-0,87009604307574+7,76195832970459i</v>
      </c>
      <c r="AA486" s="4">
        <f t="shared" si="443"/>
        <v>7.81057387368217</v>
      </c>
      <c r="AB486" s="4">
        <f t="shared" si="444"/>
        <v>1.68242779166266</v>
      </c>
      <c r="AC486" s="67" t="str">
        <f t="shared" si="445"/>
        <v>-2,27283551354778+0,21020918698184i</v>
      </c>
      <c r="AD486" s="68">
        <f t="shared" si="446"/>
        <v>7.16835153696974</v>
      </c>
      <c r="AE486" s="31">
        <f t="shared" si="447"/>
        <v>174.715881220529</v>
      </c>
      <c r="AF486" s="32" t="str">
        <f t="shared" si="448"/>
        <v>249,914648392112</v>
      </c>
      <c r="AG486" s="32" t="str">
        <f t="shared" si="430"/>
        <v>1+3157,68764183839i</v>
      </c>
      <c r="AH486" s="32">
        <f t="shared" si="449"/>
        <v>3157.6878001821</v>
      </c>
      <c r="AI486" s="32">
        <f t="shared" si="450"/>
        <v>1.57047963937043</v>
      </c>
      <c r="AJ486" s="32" t="str">
        <f t="shared" si="431"/>
        <v>1+47,15480211812i</v>
      </c>
      <c r="AK486" s="32">
        <f t="shared" si="451"/>
        <v>47.1654043001759</v>
      </c>
      <c r="AL486" s="32">
        <f t="shared" si="452"/>
        <v>1.54959275713057</v>
      </c>
      <c r="AM486" s="32" t="str">
        <f t="shared" si="432"/>
        <v>1-4,77194479895468i</v>
      </c>
      <c r="AN486" s="32">
        <f t="shared" si="453"/>
        <v>4.87559813400065</v>
      </c>
      <c r="AO486" s="32">
        <f t="shared" si="454"/>
        <v>-1.36422734233345</v>
      </c>
      <c r="AP486" s="30" t="str">
        <f t="shared" si="455"/>
        <v>3,36004866449591-17,8872590820103i</v>
      </c>
      <c r="AQ486" s="32">
        <f t="shared" si="456"/>
        <v>25.2014797385653</v>
      </c>
      <c r="AR486" s="31">
        <f t="shared" si="457"/>
        <v>-79.3611992115863</v>
      </c>
      <c r="AS486" t="str">
        <f t="shared" si="433"/>
        <v>-0,000100699300699301</v>
      </c>
      <c r="AT486" t="str">
        <f t="shared" si="434"/>
        <v>0,675745155353417i</v>
      </c>
      <c r="AU486">
        <f t="shared" si="458"/>
        <v>0.675745155353417</v>
      </c>
      <c r="AV486">
        <f t="shared" si="459"/>
        <v>1.5707963267949</v>
      </c>
      <c r="AW486" t="str">
        <f t="shared" si="435"/>
        <v>1+34,5969125146852i</v>
      </c>
      <c r="AX486">
        <f t="shared" si="460"/>
        <v>34.6113616540693</v>
      </c>
      <c r="AY486">
        <f t="shared" si="461"/>
        <v>1.54190005887944</v>
      </c>
      <c r="AZ486" t="str">
        <f t="shared" si="436"/>
        <v>1+1654,02686001058i</v>
      </c>
      <c r="BA486">
        <f t="shared" si="462"/>
        <v>1654.0271623031</v>
      </c>
      <c r="BB486">
        <f t="shared" si="463"/>
        <v>1.57019174176527</v>
      </c>
      <c r="BC486" s="30" t="str">
        <f t="shared" si="464"/>
        <v>-0,000201450481367843+0,0071185843212812i</v>
      </c>
      <c r="BD486" s="32">
        <f t="shared" si="465"/>
        <v>-42.9486506847668</v>
      </c>
      <c r="BE486" s="31">
        <f t="shared" si="466"/>
        <v>91.6209940246807</v>
      </c>
      <c r="BF486" s="30" t="str">
        <f t="shared" si="467"/>
        <v>-0,00103852801436407-0,0162217179934978i</v>
      </c>
      <c r="BG486" s="68">
        <f t="shared" si="468"/>
        <v>-35.7802991477971</v>
      </c>
      <c r="BH486" s="31">
        <f t="shared" si="469"/>
        <v>-93.6631247547904</v>
      </c>
      <c r="BI486" s="30" t="str">
        <f t="shared" si="423"/>
        <v>0,126655078631011+0,0275221866942447i</v>
      </c>
      <c r="BJ486" s="68">
        <f t="shared" si="470"/>
        <v>-17.7471709462015</v>
      </c>
      <c r="BK486" s="31">
        <f t="shared" si="424"/>
        <v>12.2597948130943</v>
      </c>
      <c r="BL486" s="32">
        <f t="shared" si="471"/>
        <v>-35.7802991477971</v>
      </c>
      <c r="BM486" s="31">
        <f t="shared" si="472"/>
        <v>-93.6631247547904</v>
      </c>
      <c r="BO486">
        <f t="shared" si="473"/>
        <v>0</v>
      </c>
      <c r="BP486">
        <f t="shared" si="474"/>
        <v>0</v>
      </c>
    </row>
    <row r="487" spans="14:68">
      <c r="N487" s="7">
        <v>69</v>
      </c>
      <c r="O487" s="18">
        <f t="shared" si="475"/>
        <v>489778.819368447</v>
      </c>
      <c r="P487" s="86" t="str">
        <f t="shared" si="425"/>
        <v>75</v>
      </c>
      <c r="Q487" s="4" t="str">
        <f t="shared" si="426"/>
        <v>1+5026,37276665186i</v>
      </c>
      <c r="R487" s="4">
        <f t="shared" si="437"/>
        <v>5026.37286612717</v>
      </c>
      <c r="S487" s="4">
        <f t="shared" si="438"/>
        <v>1.5705973761732</v>
      </c>
      <c r="T487" s="4" t="str">
        <f t="shared" si="427"/>
        <v>1+48,2531785598579i</v>
      </c>
      <c r="U487" s="4">
        <f t="shared" si="439"/>
        <v>48.2635394591977</v>
      </c>
      <c r="V487" s="4">
        <f t="shared" si="440"/>
        <v>1.55007526955045</v>
      </c>
      <c r="W487" t="str">
        <f t="shared" si="428"/>
        <v>1-25,311377146354i</v>
      </c>
      <c r="X487" s="4">
        <f t="shared" si="441"/>
        <v>25.3311234066903</v>
      </c>
      <c r="Y487" s="4">
        <f t="shared" si="442"/>
        <v>-1.53130893782792</v>
      </c>
      <c r="Z487" t="str">
        <f t="shared" si="429"/>
        <v>-0,95823095430164+7,94275756516195i</v>
      </c>
      <c r="AA487" s="4">
        <f t="shared" si="443"/>
        <v>8.00035026112727</v>
      </c>
      <c r="AB487" s="4">
        <f t="shared" si="444"/>
        <v>1.69085818989726</v>
      </c>
      <c r="AC487" s="67" t="str">
        <f t="shared" si="445"/>
        <v>-2,26854830154038+0,230127017110063i</v>
      </c>
      <c r="AD487" s="68">
        <f t="shared" si="446"/>
        <v>7.15942357761866</v>
      </c>
      <c r="AE487" s="31">
        <f t="shared" si="447"/>
        <v>174.207592599355</v>
      </c>
      <c r="AF487" s="32" t="str">
        <f t="shared" si="448"/>
        <v>249,914648392112</v>
      </c>
      <c r="AG487" s="32" t="str">
        <f t="shared" si="430"/>
        <v>1+3231,23963570477i</v>
      </c>
      <c r="AH487" s="32">
        <f t="shared" si="449"/>
        <v>3231.23979044414</v>
      </c>
      <c r="AI487" s="32">
        <f t="shared" si="450"/>
        <v>1.57048684805583</v>
      </c>
      <c r="AJ487" s="32" t="str">
        <f t="shared" si="431"/>
        <v>1+48,2531785598579i</v>
      </c>
      <c r="AK487" s="32">
        <f t="shared" si="451"/>
        <v>48.2635394591977</v>
      </c>
      <c r="AL487" s="32">
        <f t="shared" si="452"/>
        <v>1.55007526955045</v>
      </c>
      <c r="AM487" s="32" t="str">
        <f t="shared" si="432"/>
        <v>1-4,88309767232092i</v>
      </c>
      <c r="AN487" s="32">
        <f t="shared" si="453"/>
        <v>4.98444007662104</v>
      </c>
      <c r="AO487" s="32">
        <f t="shared" si="454"/>
        <v>-1.36880115030177</v>
      </c>
      <c r="AP487" s="30" t="str">
        <f t="shared" si="455"/>
        <v>3,36004755158911-18,300310801195i</v>
      </c>
      <c r="AQ487" s="32">
        <f t="shared" si="456"/>
        <v>25.3931614327843</v>
      </c>
      <c r="AR487" s="31">
        <f t="shared" si="457"/>
        <v>-79.596026206502</v>
      </c>
      <c r="AS487" t="str">
        <f t="shared" si="433"/>
        <v>-0,000100699300699301</v>
      </c>
      <c r="AT487" t="str">
        <f t="shared" si="434"/>
        <v>0,691485282040821i</v>
      </c>
      <c r="AU487">
        <f t="shared" si="458"/>
        <v>0.691485282040821</v>
      </c>
      <c r="AV487">
        <f t="shared" si="459"/>
        <v>1.5707963267949</v>
      </c>
      <c r="AW487" t="str">
        <f t="shared" si="435"/>
        <v>1+35,4027781308277i</v>
      </c>
      <c r="AX487">
        <f t="shared" si="460"/>
        <v>35.4168985003008</v>
      </c>
      <c r="AY487">
        <f t="shared" si="461"/>
        <v>1.54255746454912</v>
      </c>
      <c r="AZ487" t="str">
        <f t="shared" si="436"/>
        <v>1+1692,55409489297i</v>
      </c>
      <c r="BA487">
        <f t="shared" si="462"/>
        <v>1692.55439030448</v>
      </c>
      <c r="BB487">
        <f t="shared" si="463"/>
        <v>1.57020550379748</v>
      </c>
      <c r="BC487" s="30" t="str">
        <f t="shared" si="464"/>
        <v>-0,000192390944375966+0,00695680145831i</v>
      </c>
      <c r="BD487" s="32">
        <f t="shared" si="465"/>
        <v>-43.1484875866474</v>
      </c>
      <c r="BE487" s="31">
        <f t="shared" si="466"/>
        <v>91.5841159607427</v>
      </c>
      <c r="BF487" s="30" t="str">
        <f t="shared" si="467"/>
        <v>-0,00116449981813197-0,015826114486551i</v>
      </c>
      <c r="BG487" s="68">
        <f t="shared" si="468"/>
        <v>-35.9890640090287</v>
      </c>
      <c r="BH487" s="31">
        <f t="shared" si="469"/>
        <v>-94.2082914399023</v>
      </c>
      <c r="BI487" s="30" t="str">
        <f t="shared" si="423"/>
        <v>0,126665186147681+0,0268959977843017i</v>
      </c>
      <c r="BJ487" s="68">
        <f t="shared" si="470"/>
        <v>-17.7553261538631</v>
      </c>
      <c r="BK487" s="31">
        <f t="shared" si="424"/>
        <v>11.9880897542408</v>
      </c>
      <c r="BL487" s="32">
        <f t="shared" si="471"/>
        <v>-35.9890640090287</v>
      </c>
      <c r="BM487" s="31">
        <f t="shared" si="472"/>
        <v>-94.2082914399023</v>
      </c>
      <c r="BO487">
        <f t="shared" si="473"/>
        <v>0</v>
      </c>
      <c r="BP487">
        <f t="shared" si="474"/>
        <v>0</v>
      </c>
    </row>
    <row r="488" spans="14:68">
      <c r="N488" s="7">
        <v>70</v>
      </c>
      <c r="O488" s="18">
        <f t="shared" si="475"/>
        <v>501187.233627273</v>
      </c>
      <c r="P488" s="86" t="str">
        <f t="shared" si="425"/>
        <v>75</v>
      </c>
      <c r="Q488" s="4" t="str">
        <f t="shared" si="426"/>
        <v>1+5143,45202870567i</v>
      </c>
      <c r="R488" s="4">
        <f t="shared" si="437"/>
        <v>5143.45212591665</v>
      </c>
      <c r="S488" s="4">
        <f t="shared" si="438"/>
        <v>1.57060190484213</v>
      </c>
      <c r="T488" s="4" t="str">
        <f t="shared" si="427"/>
        <v>1+49,3771394755745i</v>
      </c>
      <c r="U488" s="4">
        <f t="shared" si="439"/>
        <v>49.387264580966</v>
      </c>
      <c r="V488" s="4">
        <f t="shared" si="440"/>
        <v>1.55054680797144</v>
      </c>
      <c r="W488" t="str">
        <f t="shared" si="428"/>
        <v>1-25,9009548588393i</v>
      </c>
      <c r="X488" s="4">
        <f t="shared" si="441"/>
        <v>25.9202519779348</v>
      </c>
      <c r="Y488" s="4">
        <f t="shared" si="442"/>
        <v>-1.53220687809268</v>
      </c>
      <c r="Z488" t="str">
        <f t="shared" si="429"/>
        <v>-1,0505195359262+8,12776815581515i</v>
      </c>
      <c r="AA488" s="4">
        <f t="shared" si="443"/>
        <v>8.19537714141609</v>
      </c>
      <c r="AB488" s="4">
        <f t="shared" si="444"/>
        <v>1.69933439039777</v>
      </c>
      <c r="AC488" s="67" t="str">
        <f t="shared" si="445"/>
        <v>-2,26390830930608+0,250047725616424i</v>
      </c>
      <c r="AD488" s="68">
        <f t="shared" si="446"/>
        <v>7.149836181129</v>
      </c>
      <c r="AE488" s="31">
        <f t="shared" si="447"/>
        <v>173.697251584728</v>
      </c>
      <c r="AF488" s="32" t="str">
        <f t="shared" si="448"/>
        <v>249,914648392112</v>
      </c>
      <c r="AG488" s="32" t="str">
        <f t="shared" si="430"/>
        <v>1+3306,5048755965i</v>
      </c>
      <c r="AH488" s="32">
        <f t="shared" si="449"/>
        <v>3306.50502681357</v>
      </c>
      <c r="AI488" s="32">
        <f t="shared" si="450"/>
        <v>1.57049389265155</v>
      </c>
      <c r="AJ488" s="32" t="str">
        <f t="shared" si="431"/>
        <v>1+49,3771394755745i</v>
      </c>
      <c r="AK488" s="32">
        <f t="shared" si="451"/>
        <v>49.387264580966</v>
      </c>
      <c r="AL488" s="32">
        <f t="shared" si="452"/>
        <v>1.55054680797144</v>
      </c>
      <c r="AM488" s="32" t="str">
        <f t="shared" si="432"/>
        <v>1-4,99683962870845i</v>
      </c>
      <c r="AN488" s="32">
        <f t="shared" si="453"/>
        <v>5.09592055226837</v>
      </c>
      <c r="AO488" s="32">
        <f t="shared" si="454"/>
        <v>-1.37327914028336</v>
      </c>
      <c r="AP488" s="30" t="str">
        <f t="shared" si="455"/>
        <v>3,36004648877135-18,7230655873688i</v>
      </c>
      <c r="AQ488" s="32">
        <f t="shared" si="456"/>
        <v>25.5852029233699</v>
      </c>
      <c r="AR488" s="31">
        <f t="shared" si="457"/>
        <v>-79.8259825973516</v>
      </c>
      <c r="AS488" t="str">
        <f t="shared" si="433"/>
        <v>-0,000100699300699301</v>
      </c>
      <c r="AT488" t="str">
        <f t="shared" si="434"/>
        <v>0,707592043377653i</v>
      </c>
      <c r="AU488">
        <f t="shared" si="458"/>
        <v>0.707592043377653</v>
      </c>
      <c r="AV488">
        <f t="shared" si="459"/>
        <v>1.5707963267949</v>
      </c>
      <c r="AW488" t="str">
        <f t="shared" si="435"/>
        <v>1+36,2274147685463i</v>
      </c>
      <c r="AX488">
        <f t="shared" si="460"/>
        <v>36.2412138429756</v>
      </c>
      <c r="AY488">
        <f t="shared" si="461"/>
        <v>1.54319992943168</v>
      </c>
      <c r="AZ488" t="str">
        <f t="shared" si="436"/>
        <v>1+1731,97874436007i</v>
      </c>
      <c r="BA488">
        <f t="shared" si="462"/>
        <v>1731.97903304719</v>
      </c>
      <c r="BB488">
        <f t="shared" si="463"/>
        <v>1.5702189525678</v>
      </c>
      <c r="BC488" s="30" t="str">
        <f t="shared" si="464"/>
        <v>-0,000183738518195228+0,00679868416028384i</v>
      </c>
      <c r="BD488" s="32">
        <f t="shared" si="465"/>
        <v>-43.3483318234295</v>
      </c>
      <c r="BE488" s="31">
        <f t="shared" si="466"/>
        <v>91.5480759922659</v>
      </c>
      <c r="BF488" s="30" t="str">
        <f t="shared" si="467"/>
        <v>-0,00128402835338162-0,0154375409613971i</v>
      </c>
      <c r="BG488" s="68">
        <f t="shared" si="468"/>
        <v>-36.1984956423004</v>
      </c>
      <c r="BH488" s="31">
        <f t="shared" si="469"/>
        <v>-94.7546724230061</v>
      </c>
      <c r="BI488" s="30" t="str">
        <f t="shared" si="423"/>
        <v>0,126674839477886+0,0262840431681223i</v>
      </c>
      <c r="BJ488" s="68">
        <f t="shared" si="470"/>
        <v>-17.7631289000596</v>
      </c>
      <c r="BK488" s="31">
        <f t="shared" si="424"/>
        <v>11.7220933949142</v>
      </c>
      <c r="BL488" s="32">
        <f t="shared" si="471"/>
        <v>-36.1984956423004</v>
      </c>
      <c r="BM488" s="31">
        <f t="shared" si="472"/>
        <v>-94.7546724230061</v>
      </c>
      <c r="BO488">
        <f t="shared" si="473"/>
        <v>0</v>
      </c>
      <c r="BP488">
        <f t="shared" si="474"/>
        <v>0</v>
      </c>
    </row>
    <row r="489" spans="14:68">
      <c r="N489" s="7">
        <v>71</v>
      </c>
      <c r="O489" s="18">
        <f t="shared" si="475"/>
        <v>512861.383991365</v>
      </c>
      <c r="P489" s="86" t="str">
        <f t="shared" si="425"/>
        <v>75</v>
      </c>
      <c r="Q489" s="4" t="str">
        <f t="shared" si="426"/>
        <v>1+5263,25841710674i</v>
      </c>
      <c r="R489" s="4">
        <f t="shared" si="437"/>
        <v>5263.25851210492</v>
      </c>
      <c r="S489" s="4">
        <f t="shared" si="438"/>
        <v>1.57060633042597</v>
      </c>
      <c r="T489" s="4" t="str">
        <f t="shared" si="427"/>
        <v>1+50,5272808042247i</v>
      </c>
      <c r="U489" s="4">
        <f t="shared" si="439"/>
        <v>50.5371754797295</v>
      </c>
      <c r="V489" s="4">
        <f t="shared" si="440"/>
        <v>1.55100762157019</v>
      </c>
      <c r="W489" t="str">
        <f t="shared" si="428"/>
        <v>1-26,5042656004304i</v>
      </c>
      <c r="X489" s="4">
        <f t="shared" si="441"/>
        <v>26.5231237794148</v>
      </c>
      <c r="Y489" s="4">
        <f t="shared" si="442"/>
        <v>-1.53308443890663</v>
      </c>
      <c r="Z489" t="str">
        <f t="shared" si="429"/>
        <v>-1,14715754440439+8,31708819672831i</v>
      </c>
      <c r="AA489" s="4">
        <f t="shared" si="443"/>
        <v>8.39582792247681</v>
      </c>
      <c r="AB489" s="4">
        <f t="shared" si="444"/>
        <v>1.70785931131817</v>
      </c>
      <c r="AC489" s="67" t="str">
        <f t="shared" si="445"/>
        <v>-2,25891021504804+0,26997141360631i</v>
      </c>
      <c r="AD489" s="68">
        <f t="shared" si="446"/>
        <v>7.13957341311153</v>
      </c>
      <c r="AE489" s="31">
        <f t="shared" si="447"/>
        <v>173.184678171476</v>
      </c>
      <c r="AF489" s="32" t="str">
        <f t="shared" si="448"/>
        <v>249,914648392112</v>
      </c>
      <c r="AG489" s="32" t="str">
        <f t="shared" si="430"/>
        <v>1+3383,52326814004i</v>
      </c>
      <c r="AH489" s="32">
        <f t="shared" si="449"/>
        <v>3383.52341591499</v>
      </c>
      <c r="AI489" s="32">
        <f t="shared" si="450"/>
        <v>1.57050077689273</v>
      </c>
      <c r="AJ489" s="32" t="str">
        <f t="shared" si="431"/>
        <v>1+50,5272808042247i</v>
      </c>
      <c r="AK489" s="32">
        <f t="shared" si="451"/>
        <v>50.5371754797295</v>
      </c>
      <c r="AL489" s="32">
        <f t="shared" si="452"/>
        <v>1.55100762157019</v>
      </c>
      <c r="AM489" s="32" t="str">
        <f t="shared" si="432"/>
        <v>1-5,11323097560812i</v>
      </c>
      <c r="AN489" s="32">
        <f t="shared" si="453"/>
        <v>5.21009894435013</v>
      </c>
      <c r="AO489" s="32">
        <f t="shared" si="454"/>
        <v>-1.37766296787181</v>
      </c>
      <c r="AP489" s="30" t="str">
        <f t="shared" si="455"/>
        <v>3,36004547378829-19,155747590717i</v>
      </c>
      <c r="AQ489" s="32">
        <f t="shared" si="456"/>
        <v>25.777589252134</v>
      </c>
      <c r="AR489" s="31">
        <f t="shared" si="457"/>
        <v>-80.0511491798961</v>
      </c>
      <c r="AS489" t="str">
        <f t="shared" si="433"/>
        <v>-0,000100699300699301</v>
      </c>
      <c r="AT489" t="str">
        <f t="shared" si="434"/>
        <v>0,724073979381971i</v>
      </c>
      <c r="AU489">
        <f t="shared" si="458"/>
        <v>0.724073979381971</v>
      </c>
      <c r="AV489">
        <f t="shared" si="459"/>
        <v>1.5707963267949</v>
      </c>
      <c r="AW489" t="str">
        <f t="shared" si="435"/>
        <v>1+37,0712596611017i</v>
      </c>
      <c r="AX489">
        <f t="shared" si="460"/>
        <v>37.0847447457958</v>
      </c>
      <c r="AY489">
        <f t="shared" si="461"/>
        <v>1.54382779204781</v>
      </c>
      <c r="AZ489" t="str">
        <f t="shared" si="436"/>
        <v>1+1772,32171188288i</v>
      </c>
      <c r="BA489">
        <f t="shared" si="462"/>
        <v>1772.32199399868</v>
      </c>
      <c r="BB489">
        <f t="shared" si="463"/>
        <v>1.57023209520693</v>
      </c>
      <c r="BC489" s="30" t="str">
        <f t="shared" si="464"/>
        <v>-0,000175474935677312+0,00664415012570812i</v>
      </c>
      <c r="BD489" s="32">
        <f t="shared" si="465"/>
        <v>-43.5481830654913</v>
      </c>
      <c r="BE489" s="31">
        <f t="shared" si="466"/>
        <v>91.5128551320019</v>
      </c>
      <c r="BF489" s="30" t="str">
        <f t="shared" si="467"/>
        <v>-0,00139734847696359-0,0150559118057121i</v>
      </c>
      <c r="BG489" s="68">
        <f t="shared" si="468"/>
        <v>-36.4086096523798</v>
      </c>
      <c r="BH489" s="31">
        <f t="shared" si="469"/>
        <v>-95.3024666965225</v>
      </c>
      <c r="BI489" s="30" t="str">
        <f t="shared" si="423"/>
        <v>0,12668405899951+0,0256860001333874i</v>
      </c>
      <c r="BJ489" s="68">
        <f t="shared" si="470"/>
        <v>-17.7705938133573</v>
      </c>
      <c r="BK489" s="31">
        <f t="shared" si="424"/>
        <v>11.4617059521058</v>
      </c>
      <c r="BL489" s="32">
        <f t="shared" si="471"/>
        <v>-36.4086096523798</v>
      </c>
      <c r="BM489" s="31">
        <f t="shared" si="472"/>
        <v>-95.3024666965225</v>
      </c>
      <c r="BO489">
        <f t="shared" si="473"/>
        <v>0</v>
      </c>
      <c r="BP489">
        <f t="shared" si="474"/>
        <v>0</v>
      </c>
    </row>
    <row r="490" spans="14:68">
      <c r="N490" s="7">
        <v>72</v>
      </c>
      <c r="O490" s="18">
        <f t="shared" si="475"/>
        <v>524807.460249773</v>
      </c>
      <c r="P490" s="86" t="str">
        <f t="shared" si="425"/>
        <v>75</v>
      </c>
      <c r="Q490" s="4" t="str">
        <f t="shared" si="426"/>
        <v>1+5385,85545478803i</v>
      </c>
      <c r="R490" s="4">
        <f t="shared" si="437"/>
        <v>5385.85554762379</v>
      </c>
      <c r="S490" s="4">
        <f t="shared" si="438"/>
        <v>1.57061065527124</v>
      </c>
      <c r="T490" s="4" t="str">
        <f t="shared" si="427"/>
        <v>1+51,7042123659651i</v>
      </c>
      <c r="U490" s="4">
        <f t="shared" si="439"/>
        <v>51.7138818537616</v>
      </c>
      <c r="V490" s="4">
        <f t="shared" si="440"/>
        <v>1.55145795389291</v>
      </c>
      <c r="W490" t="str">
        <f t="shared" si="428"/>
        <v>1-27,1216292544683i</v>
      </c>
      <c r="X490" s="4">
        <f t="shared" si="441"/>
        <v>27.1400584637696</v>
      </c>
      <c r="Y490" s="4">
        <f t="shared" si="442"/>
        <v>-1.53394208015449</v>
      </c>
      <c r="Z490" t="str">
        <f t="shared" si="429"/>
        <v>-1,24834996190872+8,51081806789307i</v>
      </c>
      <c r="AA490" s="4">
        <f t="shared" si="443"/>
        <v>8.60188362000862</v>
      </c>
      <c r="AB490" s="4">
        <f t="shared" si="444"/>
        <v>1.71643582380138</v>
      </c>
      <c r="AC490" s="67" t="str">
        <f t="shared" si="445"/>
        <v>-2,25354838399418+0,289897786929762i</v>
      </c>
      <c r="AD490" s="68">
        <f t="shared" si="446"/>
        <v>7.12861835141239</v>
      </c>
      <c r="AE490" s="31">
        <f t="shared" si="447"/>
        <v>172.669695325498</v>
      </c>
      <c r="AF490" s="32" t="str">
        <f t="shared" si="448"/>
        <v>249,914648392112</v>
      </c>
      <c r="AG490" s="32" t="str">
        <f t="shared" si="430"/>
        <v>1+3462,33564950659i</v>
      </c>
      <c r="AH490" s="32">
        <f t="shared" si="449"/>
        <v>3462.33579391777</v>
      </c>
      <c r="AI490" s="32">
        <f t="shared" si="450"/>
        <v>1.57050750442947</v>
      </c>
      <c r="AJ490" s="32" t="str">
        <f t="shared" si="431"/>
        <v>1+51,7042123659651i</v>
      </c>
      <c r="AK490" s="32">
        <f t="shared" si="451"/>
        <v>51.7138818537616</v>
      </c>
      <c r="AL490" s="32">
        <f t="shared" si="452"/>
        <v>1.55145795389291</v>
      </c>
      <c r="AM490" s="32" t="str">
        <f t="shared" si="432"/>
        <v>1-5,23233342525268i</v>
      </c>
      <c r="AN490" s="32">
        <f t="shared" si="453"/>
        <v>5.32703604953228</v>
      </c>
      <c r="AO490" s="32">
        <f t="shared" si="454"/>
        <v>-1.3819542831229</v>
      </c>
      <c r="AP490" s="30" t="str">
        <f t="shared" si="455"/>
        <v>3,36004450448695-19,5985862249672i</v>
      </c>
      <c r="AQ490" s="32">
        <f t="shared" si="456"/>
        <v>25.9703060314392</v>
      </c>
      <c r="AR490" s="31">
        <f t="shared" si="457"/>
        <v>-80.2716067503356</v>
      </c>
      <c r="AS490" t="str">
        <f t="shared" si="433"/>
        <v>-0,000100699300699301</v>
      </c>
      <c r="AT490" t="str">
        <f t="shared" si="434"/>
        <v>0,74093982899441i</v>
      </c>
      <c r="AU490">
        <f t="shared" si="458"/>
        <v>0.74093982899441</v>
      </c>
      <c r="AV490">
        <f t="shared" si="459"/>
        <v>1.5707963267949</v>
      </c>
      <c r="AW490" t="str">
        <f t="shared" si="435"/>
        <v>1+37,9347602262256i</v>
      </c>
      <c r="AX490">
        <f t="shared" si="460"/>
        <v>37.9479384607547</v>
      </c>
      <c r="AY490">
        <f t="shared" si="461"/>
        <v>1.54444138331735</v>
      </c>
      <c r="AZ490" t="str">
        <f t="shared" si="436"/>
        <v>1+1813,60438783678i</v>
      </c>
      <c r="BA490">
        <f t="shared" si="462"/>
        <v>1813.60466353084</v>
      </c>
      <c r="BB490">
        <f t="shared" si="463"/>
        <v>1.57024493868326</v>
      </c>
      <c r="BC490" s="30" t="str">
        <f t="shared" si="464"/>
        <v>-0,00016758274692429+0,00649311885081941i</v>
      </c>
      <c r="BD490" s="32">
        <f t="shared" si="465"/>
        <v>-43.7480409980025</v>
      </c>
      <c r="BE490" s="31">
        <f t="shared" si="466"/>
        <v>91.4784348188989</v>
      </c>
      <c r="BF490" s="30" t="str">
        <f t="shared" si="467"/>
        <v>-0,00150468495660793-0,0146811393608072i</v>
      </c>
      <c r="BG490" s="68">
        <f t="shared" si="468"/>
        <v>-36.6194226465901</v>
      </c>
      <c r="BH490" s="31">
        <f t="shared" si="469"/>
        <v>-95.8518698556033</v>
      </c>
      <c r="BI490" s="30" t="str">
        <f t="shared" si="423"/>
        <v>0,126692864178894+0,0251015532270889i</v>
      </c>
      <c r="BJ490" s="68">
        <f t="shared" si="470"/>
        <v>-17.7777349665633</v>
      </c>
      <c r="BK490" s="31">
        <f t="shared" si="424"/>
        <v>11.2068280685634</v>
      </c>
      <c r="BL490" s="32">
        <f t="shared" si="471"/>
        <v>-36.6194226465901</v>
      </c>
      <c r="BM490" s="31">
        <f t="shared" si="472"/>
        <v>-95.8518698556033</v>
      </c>
      <c r="BO490">
        <f t="shared" si="473"/>
        <v>0</v>
      </c>
      <c r="BP490">
        <f t="shared" si="474"/>
        <v>0</v>
      </c>
    </row>
    <row r="491" spans="14:68">
      <c r="N491" s="7">
        <v>73</v>
      </c>
      <c r="O491" s="18">
        <f t="shared" si="475"/>
        <v>537031.796370254</v>
      </c>
      <c r="P491" s="86" t="str">
        <f t="shared" si="425"/>
        <v>75</v>
      </c>
      <c r="Q491" s="4" t="str">
        <f t="shared" si="426"/>
        <v>1+5511,30814432167i</v>
      </c>
      <c r="R491" s="4">
        <f t="shared" si="437"/>
        <v>5511.30823504423</v>
      </c>
      <c r="S491" s="4">
        <f t="shared" si="438"/>
        <v>1.57061488167101</v>
      </c>
      <c r="T491" s="4" t="str">
        <f t="shared" si="427"/>
        <v>1+52,9085581854881i</v>
      </c>
      <c r="U491" s="4">
        <f t="shared" si="439"/>
        <v>52.9180076086315</v>
      </c>
      <c r="V491" s="4">
        <f t="shared" si="440"/>
        <v>1.55189804298072</v>
      </c>
      <c r="W491" t="str">
        <f t="shared" si="428"/>
        <v>1-27,7533731553341i</v>
      </c>
      <c r="X491" s="4">
        <f t="shared" si="441"/>
        <v>27.7713831398297</v>
      </c>
      <c r="Y491" s="4">
        <f t="shared" si="442"/>
        <v>-1.53478025151941</v>
      </c>
      <c r="Z491" t="str">
        <f t="shared" si="429"/>
        <v>-1,35431143112378+8,70906048745142i</v>
      </c>
      <c r="AA491" s="4">
        <f t="shared" si="443"/>
        <v>8.81373326273039</v>
      </c>
      <c r="AB491" s="4">
        <f t="shared" si="444"/>
        <v>1.72506674797121</v>
      </c>
      <c r="AC491" s="67" t="str">
        <f t="shared" si="445"/>
        <v>-2,24781688505461+0,309826129437002i</v>
      </c>
      <c r="AD491" s="68">
        <f t="shared" si="446"/>
        <v>7.11695308251567</v>
      </c>
      <c r="AE491" s="31">
        <f t="shared" si="447"/>
        <v>172.152129208022</v>
      </c>
      <c r="AF491" s="32" t="str">
        <f t="shared" si="448"/>
        <v>249,914648392112</v>
      </c>
      <c r="AG491" s="32" t="str">
        <f t="shared" si="430"/>
        <v>1+3542,98380706393i</v>
      </c>
      <c r="AH491" s="32">
        <f t="shared" si="449"/>
        <v>3542.98394818791</v>
      </c>
      <c r="AI491" s="32">
        <f t="shared" si="450"/>
        <v>1.5705140788288</v>
      </c>
      <c r="AJ491" s="32" t="str">
        <f t="shared" si="431"/>
        <v>1+52,9085581854881i</v>
      </c>
      <c r="AK491" s="32">
        <f t="shared" si="451"/>
        <v>52.9180076086315</v>
      </c>
      <c r="AL491" s="32">
        <f t="shared" si="452"/>
        <v>1.55189804298072</v>
      </c>
      <c r="AM491" s="32" t="str">
        <f t="shared" si="432"/>
        <v>1-5,35421012733743i</v>
      </c>
      <c r="AN491" s="32">
        <f t="shared" si="453"/>
        <v>5.44679411100536</v>
      </c>
      <c r="AO491" s="32">
        <f t="shared" si="454"/>
        <v>-1.38615472883401</v>
      </c>
      <c r="AP491" s="30" t="str">
        <f t="shared" si="455"/>
        <v>3,36004357881137-20,0518162890267i</v>
      </c>
      <c r="AQ491" s="32">
        <f t="shared" si="456"/>
        <v>26.1633394268147</v>
      </c>
      <c r="AR491" s="31">
        <f t="shared" si="457"/>
        <v>-80.4874359996494</v>
      </c>
      <c r="AS491" t="str">
        <f t="shared" si="433"/>
        <v>-0,000100699300699301</v>
      </c>
      <c r="AT491" t="str">
        <f t="shared" si="434"/>
        <v>0,758198534711681i</v>
      </c>
      <c r="AU491">
        <f t="shared" si="458"/>
        <v>0.758198534711681</v>
      </c>
      <c r="AV491">
        <f t="shared" si="459"/>
        <v>1.5707963267949</v>
      </c>
      <c r="AW491" t="str">
        <f t="shared" si="435"/>
        <v>1+38,8183743033474i</v>
      </c>
      <c r="AX491">
        <f t="shared" si="460"/>
        <v>38.8312526652796</v>
      </c>
      <c r="AY491">
        <f t="shared" si="461"/>
        <v>1.54504102672537</v>
      </c>
      <c r="AZ491" t="str">
        <f t="shared" si="436"/>
        <v>1+1855,84866084301i</v>
      </c>
      <c r="BA491">
        <f t="shared" si="462"/>
        <v>1855.84893026151</v>
      </c>
      <c r="BB491">
        <f t="shared" si="463"/>
        <v>1.57025748980656</v>
      </c>
      <c r="BC491" s="30" t="str">
        <f t="shared" si="464"/>
        <v>-0,000160045282936998+0,00634551159369304i</v>
      </c>
      <c r="BD491" s="32">
        <f t="shared" si="465"/>
        <v>-43.9479053202617</v>
      </c>
      <c r="BE491" s="31">
        <f t="shared" si="466"/>
        <v>91.4447969087998</v>
      </c>
      <c r="BF491" s="30" t="str">
        <f t="shared" si="467"/>
        <v>-0,00160625280701241-0,01431313431516i</v>
      </c>
      <c r="BG491" s="68">
        <f t="shared" si="468"/>
        <v>-36.8309522377461</v>
      </c>
      <c r="BH491" s="31">
        <f t="shared" si="469"/>
        <v>-96.4030738831786</v>
      </c>
      <c r="BI491" s="30" t="str">
        <f t="shared" si="423"/>
        <v>0,12670127361137+0,0245303940960394i</v>
      </c>
      <c r="BJ491" s="68">
        <f t="shared" si="470"/>
        <v>-17.784565893447</v>
      </c>
      <c r="BK491" s="31">
        <f t="shared" si="424"/>
        <v>10.9573609091504</v>
      </c>
      <c r="BL491" s="32">
        <f t="shared" si="471"/>
        <v>-36.8309522377461</v>
      </c>
      <c r="BM491" s="31">
        <f t="shared" si="472"/>
        <v>-96.4030738831786</v>
      </c>
      <c r="BO491">
        <f t="shared" si="473"/>
        <v>0</v>
      </c>
      <c r="BP491">
        <f t="shared" si="474"/>
        <v>0</v>
      </c>
    </row>
    <row r="492" spans="14:68">
      <c r="N492" s="7">
        <v>74</v>
      </c>
      <c r="O492" s="18">
        <f t="shared" si="475"/>
        <v>549540.873857626</v>
      </c>
      <c r="P492" s="86" t="str">
        <f t="shared" si="425"/>
        <v>75</v>
      </c>
      <c r="Q492" s="4" t="str">
        <f t="shared" si="426"/>
        <v>1+5639,68300238422i</v>
      </c>
      <c r="R492" s="4">
        <f t="shared" si="437"/>
        <v>5639.68309104168</v>
      </c>
      <c r="S492" s="4">
        <f t="shared" si="438"/>
        <v>1.57061901186619</v>
      </c>
      <c r="T492" s="4" t="str">
        <f t="shared" si="427"/>
        <v>1+54,1409568228886i</v>
      </c>
      <c r="U492" s="4">
        <f t="shared" si="439"/>
        <v>54.1501911880086</v>
      </c>
      <c r="V492" s="4">
        <f t="shared" si="440"/>
        <v>1.55232812149239</v>
      </c>
      <c r="W492" t="str">
        <f t="shared" si="428"/>
        <v>1-28,3998322620063i</v>
      </c>
      <c r="X492" s="4">
        <f t="shared" si="441"/>
        <v>28.4174325460639</v>
      </c>
      <c r="Y492" s="4">
        <f t="shared" si="442"/>
        <v>-1.53559939269754</v>
      </c>
      <c r="Z492" t="str">
        <f t="shared" si="429"/>
        <v>-1,46526671053228+8,91192056615825i</v>
      </c>
      <c r="AA492" s="4">
        <f t="shared" si="443"/>
        <v>9.03157432071001</v>
      </c>
      <c r="AB492" s="4">
        <f t="shared" si="444"/>
        <v>1.73375484875367</v>
      </c>
      <c r="AC492" s="67" t="str">
        <f t="shared" si="445"/>
        <v>-2,24170950909928+0,329755276264713i</v>
      </c>
      <c r="AD492" s="68">
        <f t="shared" si="446"/>
        <v>7.10455869868623</v>
      </c>
      <c r="AE492" s="31">
        <f t="shared" si="447"/>
        <v>171.631809409697</v>
      </c>
      <c r="AF492" s="32" t="str">
        <f t="shared" si="448"/>
        <v>249,914648392112</v>
      </c>
      <c r="AG492" s="32" t="str">
        <f t="shared" si="430"/>
        <v>1+3625,51050153271i</v>
      </c>
      <c r="AH492" s="32">
        <f t="shared" si="449"/>
        <v>3625.51063944432</v>
      </c>
      <c r="AI492" s="32">
        <f t="shared" si="450"/>
        <v>1.57052050357656</v>
      </c>
      <c r="AJ492" s="32" t="str">
        <f t="shared" si="431"/>
        <v>1+54,1409568228886i</v>
      </c>
      <c r="AK492" s="32">
        <f t="shared" si="451"/>
        <v>54.1501911880086</v>
      </c>
      <c r="AL492" s="32">
        <f t="shared" si="452"/>
        <v>1.55232812149239</v>
      </c>
      <c r="AM492" s="32" t="str">
        <f t="shared" si="432"/>
        <v>1-5,47892570250304i</v>
      </c>
      <c r="AN492" s="32">
        <f t="shared" si="453"/>
        <v>5.5694368524608</v>
      </c>
      <c r="AO492" s="32">
        <f t="shared" si="454"/>
        <v>-1.39026593895606</v>
      </c>
      <c r="AP492" s="30" t="str">
        <f t="shared" si="455"/>
        <v>3,36004269479807-20,5156780914762i</v>
      </c>
      <c r="AQ492" s="32">
        <f t="shared" si="456"/>
        <v>26.3566761397141</v>
      </c>
      <c r="AR492" s="31">
        <f t="shared" si="457"/>
        <v>-80.698717415687</v>
      </c>
      <c r="AS492" t="str">
        <f t="shared" si="433"/>
        <v>-0,000100699300699301</v>
      </c>
      <c r="AT492" t="str">
        <f t="shared" si="434"/>
        <v>0,775859247328i</v>
      </c>
      <c r="AU492">
        <f t="shared" si="458"/>
        <v>0.775859247328</v>
      </c>
      <c r="AV492">
        <f t="shared" si="459"/>
        <v>1.5707963267949</v>
      </c>
      <c r="AW492" t="str">
        <f t="shared" si="435"/>
        <v>1+39,7225703963467i</v>
      </c>
      <c r="AX492">
        <f t="shared" si="460"/>
        <v>39.7351557049009</v>
      </c>
      <c r="AY492">
        <f t="shared" si="461"/>
        <v>1.54562703848481</v>
      </c>
      <c r="AZ492" t="str">
        <f t="shared" si="436"/>
        <v>1+1899,07692937428i</v>
      </c>
      <c r="BA492">
        <f t="shared" si="462"/>
        <v>1899.07719266007</v>
      </c>
      <c r="BB492">
        <f t="shared" si="463"/>
        <v>1.57026975523157</v>
      </c>
      <c r="BC492" s="30" t="str">
        <f t="shared" si="464"/>
        <v>-0,000152846620861742+0,00620125133883427i</v>
      </c>
      <c r="BD492" s="32">
        <f t="shared" si="465"/>
        <v>-44.1477757450647</v>
      </c>
      <c r="BE492" s="31">
        <f t="shared" si="466"/>
        <v>91.4119236653258</v>
      </c>
      <c r="BF492" s="30" t="str">
        <f t="shared" si="467"/>
        <v>-0,00170225762500476-0,0139518060742678i</v>
      </c>
      <c r="BG492" s="68">
        <f t="shared" si="468"/>
        <v>-37.0432170463785</v>
      </c>
      <c r="BH492" s="31">
        <f t="shared" si="469"/>
        <v>-96.9562669249776</v>
      </c>
      <c r="BI492" s="30" t="str">
        <f t="shared" si="423"/>
        <v>0,126709305060009+0,0239722213306263i</v>
      </c>
      <c r="BJ492" s="68">
        <f t="shared" si="470"/>
        <v>-17.7910996053506</v>
      </c>
      <c r="BK492" s="31">
        <f t="shared" si="424"/>
        <v>10.7132062496388</v>
      </c>
      <c r="BL492" s="32">
        <f t="shared" si="471"/>
        <v>-37.0432170463785</v>
      </c>
      <c r="BM492" s="31">
        <f t="shared" si="472"/>
        <v>-96.9562669249776</v>
      </c>
      <c r="BO492">
        <f t="shared" si="473"/>
        <v>0</v>
      </c>
      <c r="BP492">
        <f t="shared" si="474"/>
        <v>0</v>
      </c>
    </row>
    <row r="493" spans="14:68">
      <c r="N493" s="7">
        <v>75</v>
      </c>
      <c r="O493" s="18">
        <f t="shared" si="475"/>
        <v>562341.32519035</v>
      </c>
      <c r="P493" s="86" t="str">
        <f t="shared" si="425"/>
        <v>75</v>
      </c>
      <c r="Q493" s="4" t="str">
        <f t="shared" si="426"/>
        <v>1+5771,04809502463i</v>
      </c>
      <c r="R493" s="4">
        <f t="shared" si="437"/>
        <v>5771.048181664</v>
      </c>
      <c r="S493" s="4">
        <f t="shared" si="438"/>
        <v>1.57062304804665</v>
      </c>
      <c r="T493" s="4" t="str">
        <f t="shared" si="427"/>
        <v>1+55,4020617122365i</v>
      </c>
      <c r="U493" s="4">
        <f t="shared" si="439"/>
        <v>55.4110859121752</v>
      </c>
      <c r="V493" s="4">
        <f t="shared" si="440"/>
        <v>1.55274841682449</v>
      </c>
      <c r="W493" t="str">
        <f t="shared" si="428"/>
        <v>1-29,0613493356598i</v>
      </c>
      <c r="X493" s="4">
        <f t="shared" si="441"/>
        <v>29.0785492280694</v>
      </c>
      <c r="Y493" s="4">
        <f t="shared" si="442"/>
        <v>-1.53639993360875</v>
      </c>
      <c r="Z493" t="str">
        <f t="shared" si="429"/>
        <v>-1,58145115115788+9,11950586311244i</v>
      </c>
      <c r="AA493" s="4">
        <f t="shared" si="443"/>
        <v>9.2556131580161</v>
      </c>
      <c r="AB493" s="4">
        <f t="shared" si="444"/>
        <v>1.7425028315221</v>
      </c>
      <c r="AC493" s="67" t="str">
        <f t="shared" si="445"/>
        <v>-2,23521978895138+0,349683587226233i</v>
      </c>
      <c r="AD493" s="68">
        <f t="shared" si="446"/>
        <v>7.09141529599667</v>
      </c>
      <c r="AE493" s="31">
        <f t="shared" si="447"/>
        <v>171.108569194845</v>
      </c>
      <c r="AF493" s="32" t="str">
        <f t="shared" si="448"/>
        <v>249,914648392112</v>
      </c>
      <c r="AG493" s="32" t="str">
        <f t="shared" si="430"/>
        <v>1+3709,95948965869i</v>
      </c>
      <c r="AH493" s="32">
        <f t="shared" si="449"/>
        <v>3709.95962443105</v>
      </c>
      <c r="AI493" s="32">
        <f t="shared" si="450"/>
        <v>1.57052678207923</v>
      </c>
      <c r="AJ493" s="32" t="str">
        <f t="shared" si="431"/>
        <v>1+55,4020617122365i</v>
      </c>
      <c r="AK493" s="32">
        <f t="shared" si="451"/>
        <v>55.4110859121752</v>
      </c>
      <c r="AL493" s="32">
        <f t="shared" si="452"/>
        <v>1.55274841682449</v>
      </c>
      <c r="AM493" s="32" t="str">
        <f t="shared" si="432"/>
        <v>1-5,60654627659825i</v>
      </c>
      <c r="AN493" s="32">
        <f t="shared" si="453"/>
        <v>5.69502951279778</v>
      </c>
      <c r="AO493" s="32">
        <f t="shared" si="454"/>
        <v>-1.39428953713174</v>
      </c>
      <c r="AP493" s="30" t="str">
        <f t="shared" si="455"/>
        <v>3,36004185057188-20,9904175779848i</v>
      </c>
      <c r="AQ493" s="32">
        <f t="shared" si="456"/>
        <v>26.550303390455</v>
      </c>
      <c r="AR493" s="31">
        <f t="shared" si="457"/>
        <v>-80.9055311926364</v>
      </c>
      <c r="AS493" t="str">
        <f t="shared" si="433"/>
        <v>-0,000100699300699301</v>
      </c>
      <c r="AT493" t="str">
        <f t="shared" si="434"/>
        <v>0,793931330786962i</v>
      </c>
      <c r="AU493">
        <f t="shared" si="458"/>
        <v>0.793931330786962</v>
      </c>
      <c r="AV493">
        <f t="shared" si="459"/>
        <v>1.5707963267949</v>
      </c>
      <c r="AW493" t="str">
        <f t="shared" si="435"/>
        <v>1+40,6478279219604i</v>
      </c>
      <c r="AX493">
        <f t="shared" si="460"/>
        <v>40.6601268415791</v>
      </c>
      <c r="AY493">
        <f t="shared" si="461"/>
        <v>1.54619972769602</v>
      </c>
      <c r="AZ493" t="str">
        <f t="shared" si="436"/>
        <v>1+1943,31211363074i</v>
      </c>
      <c r="BA493">
        <f t="shared" si="462"/>
        <v>1943.31237092341</v>
      </c>
      <c r="BB493">
        <f t="shared" si="463"/>
        <v>1.57028174146158</v>
      </c>
      <c r="BC493" s="30" t="str">
        <f t="shared" si="464"/>
        <v>-0,000145971550766691+0,00606026276226414i</v>
      </c>
      <c r="BD493" s="32">
        <f t="shared" si="465"/>
        <v>-44.3476519981001</v>
      </c>
      <c r="BE493" s="31">
        <f t="shared" si="466"/>
        <v>91.3797977509427</v>
      </c>
      <c r="BF493" s="30" t="str">
        <f t="shared" si="467"/>
        <v>-0,00179289592334446-0,013597063107963i</v>
      </c>
      <c r="BG493" s="68">
        <f t="shared" si="468"/>
        <v>-37.2562367021034</v>
      </c>
      <c r="BH493" s="31">
        <f t="shared" si="469"/>
        <v>-97.5116330542127</v>
      </c>
      <c r="BI493" s="30" t="str">
        <f t="shared" si="423"/>
        <v>0,126716975492667+0,0234267403117687i</v>
      </c>
      <c r="BJ493" s="68">
        <f t="shared" si="470"/>
        <v>-17.7973486076451</v>
      </c>
      <c r="BK493" s="31">
        <f t="shared" si="424"/>
        <v>10.4742665583063</v>
      </c>
      <c r="BL493" s="32">
        <f t="shared" si="471"/>
        <v>-37.2562367021034</v>
      </c>
      <c r="BM493" s="31">
        <f t="shared" si="472"/>
        <v>-97.5116330542127</v>
      </c>
      <c r="BO493">
        <f t="shared" si="473"/>
        <v>0</v>
      </c>
      <c r="BP493">
        <f t="shared" si="474"/>
        <v>0</v>
      </c>
    </row>
    <row r="494" spans="14:68">
      <c r="N494" s="7">
        <v>76</v>
      </c>
      <c r="O494" s="18">
        <f t="shared" si="475"/>
        <v>575439.937337157</v>
      </c>
      <c r="P494" s="86" t="str">
        <f t="shared" si="425"/>
        <v>75</v>
      </c>
      <c r="Q494" s="4" t="str">
        <f t="shared" si="426"/>
        <v>1+5905,47307375391i</v>
      </c>
      <c r="R494" s="4">
        <f t="shared" si="437"/>
        <v>5905.47315842113</v>
      </c>
      <c r="S494" s="4">
        <f t="shared" si="438"/>
        <v>1.57062699235243</v>
      </c>
      <c r="T494" s="4" t="str">
        <f t="shared" si="427"/>
        <v>1+56,6925415080376i</v>
      </c>
      <c r="U494" s="4">
        <f t="shared" si="439"/>
        <v>56.7013603244275</v>
      </c>
      <c r="V494" s="4">
        <f t="shared" si="440"/>
        <v>1.55315915122886</v>
      </c>
      <c r="W494" t="str">
        <f t="shared" si="428"/>
        <v>1-29,7382751214036i</v>
      </c>
      <c r="X494" s="4">
        <f t="shared" si="441"/>
        <v>29.755083720203</v>
      </c>
      <c r="Y494" s="4">
        <f t="shared" si="442"/>
        <v>-1.53718229460377</v>
      </c>
      <c r="Z494" t="str">
        <f t="shared" si="429"/>
        <v>-1,70311119577628+9,33192644278622i</v>
      </c>
      <c r="AA494" s="4">
        <f t="shared" si="443"/>
        <v>9.48606551098774</v>
      </c>
      <c r="AB494" s="4">
        <f t="shared" si="444"/>
        <v>1.751313337562</v>
      </c>
      <c r="AC494" s="67" t="str">
        <f t="shared" si="445"/>
        <v>-2,22834102119212+0,369608920392557i</v>
      </c>
      <c r="AD494" s="68">
        <f t="shared" si="446"/>
        <v>7.07750197339123</v>
      </c>
      <c r="AE494" s="31">
        <f t="shared" si="447"/>
        <v>170.58224575611</v>
      </c>
      <c r="AF494" s="32" t="str">
        <f t="shared" si="448"/>
        <v>249,914648392112</v>
      </c>
      <c r="AG494" s="32" t="str">
        <f t="shared" si="430"/>
        <v>1+3796,37554741323i</v>
      </c>
      <c r="AH494" s="32">
        <f t="shared" si="449"/>
        <v>3796.37567911779</v>
      </c>
      <c r="AI494" s="32">
        <f t="shared" si="450"/>
        <v>1.57053291766575</v>
      </c>
      <c r="AJ494" s="32" t="str">
        <f t="shared" si="431"/>
        <v>1+56,6925415080376i</v>
      </c>
      <c r="AK494" s="32">
        <f t="shared" si="451"/>
        <v>56.7013603244275</v>
      </c>
      <c r="AL494" s="32">
        <f t="shared" si="452"/>
        <v>1.55315915122886</v>
      </c>
      <c r="AM494" s="32" t="str">
        <f t="shared" si="432"/>
        <v>1-5,73713951574075i</v>
      </c>
      <c r="AN494" s="32">
        <f t="shared" si="453"/>
        <v>5.82363888158203</v>
      </c>
      <c r="AO494" s="32">
        <f t="shared" si="454"/>
        <v>-1.39822713535364</v>
      </c>
      <c r="AP494" s="30" t="str">
        <f t="shared" si="455"/>
        <v>3,36004104434214-21,476286461714i</v>
      </c>
      <c r="AQ494" s="32">
        <f t="shared" si="456"/>
        <v>26.7442089013749</v>
      </c>
      <c r="AR494" s="31">
        <f t="shared" si="457"/>
        <v>-81.1079571475105</v>
      </c>
      <c r="AS494" t="str">
        <f t="shared" si="433"/>
        <v>-0,000100699300699301</v>
      </c>
      <c r="AT494" t="str">
        <f t="shared" si="434"/>
        <v>0,81242436714643i</v>
      </c>
      <c r="AU494">
        <f t="shared" si="458"/>
        <v>0.81242436714643</v>
      </c>
      <c r="AV494">
        <f t="shared" si="459"/>
        <v>1.5707963267949</v>
      </c>
      <c r="AW494" t="str">
        <f t="shared" si="435"/>
        <v>1+41,5946374639761i</v>
      </c>
      <c r="AX494">
        <f t="shared" si="460"/>
        <v>41.6066565078186</v>
      </c>
      <c r="AY494">
        <f t="shared" si="461"/>
        <v>1.54675939650291</v>
      </c>
      <c r="AZ494" t="str">
        <f t="shared" si="436"/>
        <v>1+1988,57766769264i</v>
      </c>
      <c r="BA494">
        <f t="shared" si="462"/>
        <v>1988.57791912862</v>
      </c>
      <c r="BB494">
        <f t="shared" si="463"/>
        <v>1.57029345485182</v>
      </c>
      <c r="BC494" s="30" t="str">
        <f t="shared" si="464"/>
        <v>-0,000139405543882155+0,00592247219710984i</v>
      </c>
      <c r="BD494" s="32">
        <f t="shared" si="465"/>
        <v>-44.5475338173718</v>
      </c>
      <c r="BE494" s="31">
        <f t="shared" si="466"/>
        <v>91.3484022182073</v>
      </c>
      <c r="BF494" s="30" t="str">
        <f t="shared" si="467"/>
        <v>-0,0018783554628145-0,0132488132762607i</v>
      </c>
      <c r="BG494" s="68">
        <f t="shared" si="468"/>
        <v>-37.4700318439806</v>
      </c>
      <c r="BH494" s="31">
        <f t="shared" si="469"/>
        <v>-98.0693520256827</v>
      </c>
      <c r="BI494" s="30" t="str">
        <f t="shared" si="423"/>
        <v>0,126724301117415+0,0228936630610284i</v>
      </c>
      <c r="BJ494" s="68">
        <f t="shared" si="470"/>
        <v>-17.8033249159969</v>
      </c>
      <c r="BK494" s="31">
        <f t="shared" si="424"/>
        <v>10.2404450706967</v>
      </c>
      <c r="BL494" s="32">
        <f t="shared" si="471"/>
        <v>-37.4700318439806</v>
      </c>
      <c r="BM494" s="31">
        <f t="shared" si="472"/>
        <v>-98.0693520256827</v>
      </c>
      <c r="BO494">
        <f t="shared" si="473"/>
        <v>0</v>
      </c>
      <c r="BP494">
        <f t="shared" si="474"/>
        <v>0</v>
      </c>
    </row>
    <row r="495" spans="14:68">
      <c r="N495" s="7">
        <v>77</v>
      </c>
      <c r="O495" s="18">
        <f t="shared" si="475"/>
        <v>588843.655355589</v>
      </c>
      <c r="P495" s="86" t="str">
        <f t="shared" si="425"/>
        <v>75</v>
      </c>
      <c r="Q495" s="4" t="str">
        <f t="shared" si="426"/>
        <v>1+6043,02921247506i</v>
      </c>
      <c r="R495" s="4">
        <f t="shared" si="437"/>
        <v>6043.02929521502</v>
      </c>
      <c r="S495" s="4">
        <f t="shared" si="438"/>
        <v>1.57063084687486</v>
      </c>
      <c r="T495" s="4" t="str">
        <f t="shared" si="427"/>
        <v>1+58,0130804397606i</v>
      </c>
      <c r="U495" s="4">
        <f t="shared" si="439"/>
        <v>58.0216985455453</v>
      </c>
      <c r="V495" s="4">
        <f t="shared" si="440"/>
        <v>1.55356054192766</v>
      </c>
      <c r="W495" t="str">
        <f t="shared" si="428"/>
        <v>1-30,4309685342494i</v>
      </c>
      <c r="X495" s="4">
        <f t="shared" si="441"/>
        <v>30.4473947314459</v>
      </c>
      <c r="Y495" s="4">
        <f t="shared" si="442"/>
        <v>-1.53794688666757</v>
      </c>
      <c r="Z495" t="str">
        <f t="shared" si="429"/>
        <v>-1,83050490165334+9,5492949333826i</v>
      </c>
      <c r="AA495" s="4">
        <f t="shared" si="443"/>
        <v>9.723156993472</v>
      </c>
      <c r="AB495" s="4">
        <f t="shared" si="444"/>
        <v>1.76018893935233</v>
      </c>
      <c r="AC495" s="67" t="str">
        <f t="shared" si="445"/>
        <v>-2,22106628987159+0,38952860596538i</v>
      </c>
      <c r="AD495" s="68">
        <f t="shared" si="446"/>
        <v>7.06279683294797</v>
      </c>
      <c r="AE495" s="31">
        <f t="shared" si="447"/>
        <v>170.05268047969</v>
      </c>
      <c r="AF495" s="32" t="str">
        <f t="shared" si="448"/>
        <v>249,914648392112</v>
      </c>
      <c r="AG495" s="32" t="str">
        <f t="shared" si="430"/>
        <v>1+3884,80449373397i</v>
      </c>
      <c r="AH495" s="32">
        <f t="shared" si="449"/>
        <v>3884.80462244057</v>
      </c>
      <c r="AI495" s="32">
        <f t="shared" si="450"/>
        <v>1.57053891358928</v>
      </c>
      <c r="AJ495" s="32" t="str">
        <f t="shared" si="431"/>
        <v>1+58,0130804397606i</v>
      </c>
      <c r="AK495" s="32">
        <f t="shared" si="451"/>
        <v>58.0216985455453</v>
      </c>
      <c r="AL495" s="32">
        <f t="shared" si="452"/>
        <v>1.55356054192766</v>
      </c>
      <c r="AM495" s="32" t="str">
        <f t="shared" si="432"/>
        <v>1-5,87077466219451i</v>
      </c>
      <c r="AN495" s="32">
        <f t="shared" si="453"/>
        <v>5.9553333352773</v>
      </c>
      <c r="AO495" s="32">
        <f t="shared" si="454"/>
        <v>-1.40208033273615</v>
      </c>
      <c r="AP495" s="30" t="str">
        <f t="shared" si="455"/>
        <v>3,3600402743987-21,9735423567782i</v>
      </c>
      <c r="AQ495" s="32">
        <f t="shared" si="456"/>
        <v>26.9383808802331</v>
      </c>
      <c r="AR495" s="31">
        <f t="shared" si="457"/>
        <v>-81.3060746432952</v>
      </c>
      <c r="AS495" t="str">
        <f t="shared" si="433"/>
        <v>-0,000100699300699301</v>
      </c>
      <c r="AT495" t="str">
        <f t="shared" si="434"/>
        <v>0,831348161659069i</v>
      </c>
      <c r="AU495">
        <f t="shared" si="458"/>
        <v>0.831348161659069</v>
      </c>
      <c r="AV495">
        <f t="shared" si="459"/>
        <v>1.5707963267949</v>
      </c>
      <c r="AW495" t="str">
        <f t="shared" si="435"/>
        <v>1+42,5635010333452i</v>
      </c>
      <c r="AX495">
        <f t="shared" si="460"/>
        <v>42.5752465667033</v>
      </c>
      <c r="AY495">
        <f t="shared" si="461"/>
        <v>1.54730634024606</v>
      </c>
      <c r="AZ495" t="str">
        <f t="shared" si="436"/>
        <v>1+2034,89759195589i</v>
      </c>
      <c r="BA495">
        <f t="shared" si="462"/>
        <v>2034.89783766849</v>
      </c>
      <c r="BB495">
        <f t="shared" si="463"/>
        <v>1.57030490161289</v>
      </c>
      <c r="BC495" s="30" t="str">
        <f t="shared" si="464"/>
        <v>-0,000133134722241584+0,00578780759970632i</v>
      </c>
      <c r="BD495" s="32">
        <f t="shared" si="465"/>
        <v>-44.7474209526477</v>
      </c>
      <c r="BE495" s="31">
        <f t="shared" si="466"/>
        <v>91.3177205011915</v>
      </c>
      <c r="BF495" s="30" t="str">
        <f t="shared" si="467"/>
        <v>-0,00195881558232724-0,0129069641347307i</v>
      </c>
      <c r="BG495" s="68">
        <f t="shared" si="468"/>
        <v>-37.6846241196997</v>
      </c>
      <c r="BH495" s="31">
        <f t="shared" si="469"/>
        <v>-98.6295990191181</v>
      </c>
      <c r="BI495" s="30" t="str">
        <f t="shared" si="423"/>
        <v>0,126731297416377+0,0223727080938175i</v>
      </c>
      <c r="BJ495" s="68">
        <f t="shared" si="470"/>
        <v>-17.8090400724145</v>
      </c>
      <c r="BK495" s="31">
        <f t="shared" si="424"/>
        <v>10.0116458578963</v>
      </c>
      <c r="BL495" s="32">
        <f t="shared" si="471"/>
        <v>-37.6846241196997</v>
      </c>
      <c r="BM495" s="31">
        <f t="shared" si="472"/>
        <v>-98.6295990191181</v>
      </c>
      <c r="BO495">
        <f t="shared" si="473"/>
        <v>0</v>
      </c>
      <c r="BP495">
        <f t="shared" si="474"/>
        <v>0</v>
      </c>
    </row>
    <row r="496" spans="14:68">
      <c r="N496" s="7">
        <v>78</v>
      </c>
      <c r="O496" s="18">
        <f t="shared" si="475"/>
        <v>602559.586074359</v>
      </c>
      <c r="P496" s="86" t="str">
        <f t="shared" si="425"/>
        <v>75</v>
      </c>
      <c r="Q496" s="4" t="str">
        <f t="shared" si="426"/>
        <v>1+6183,78944527363i</v>
      </c>
      <c r="R496" s="4">
        <f t="shared" si="437"/>
        <v>6183.7895261302</v>
      </c>
      <c r="S496" s="4">
        <f t="shared" si="438"/>
        <v>1.57063461365765</v>
      </c>
      <c r="T496" s="4" t="str">
        <f t="shared" si="427"/>
        <v>1+59,3643786746269i</v>
      </c>
      <c r="U496" s="4">
        <f t="shared" si="439"/>
        <v>59.3728006365246</v>
      </c>
      <c r="V496" s="4">
        <f t="shared" si="440"/>
        <v>1.5539528012259</v>
      </c>
      <c r="W496" t="str">
        <f t="shared" si="428"/>
        <v>1-31,1397968494136i</v>
      </c>
      <c r="X496" s="4">
        <f t="shared" si="441"/>
        <v>31.1558493356023</v>
      </c>
      <c r="Y496" s="4">
        <f t="shared" si="442"/>
        <v>-1.5386941116191</v>
      </c>
      <c r="Z496" t="str">
        <f t="shared" si="429"/>
        <v>-1,96390248791923+9,77172658655255i</v>
      </c>
      <c r="AA496" s="4">
        <f t="shared" si="443"/>
        <v>9.96712363043588</v>
      </c>
      <c r="AB496" s="4">
        <f t="shared" si="444"/>
        <v>1.7691321356616</v>
      </c>
      <c r="AC496" s="67" t="str">
        <f t="shared" si="445"/>
        <v>-2,21338849221803+0,409439420558398i</v>
      </c>
      <c r="AD496" s="68">
        <f t="shared" si="446"/>
        <v>7.04727698150888</v>
      </c>
      <c r="AE496" s="31">
        <f t="shared" si="447"/>
        <v>169.519719221251</v>
      </c>
      <c r="AF496" s="32" t="str">
        <f t="shared" si="448"/>
        <v>249,914648392112</v>
      </c>
      <c r="AG496" s="32" t="str">
        <f t="shared" si="430"/>
        <v>1+3975,29321481876i</v>
      </c>
      <c r="AH496" s="32">
        <f t="shared" si="449"/>
        <v>3975.29334059564</v>
      </c>
      <c r="AI496" s="32">
        <f t="shared" si="450"/>
        <v>1.57054477302896</v>
      </c>
      <c r="AJ496" s="32" t="str">
        <f t="shared" si="431"/>
        <v>1+59,3643786746269i</v>
      </c>
      <c r="AK496" s="32">
        <f t="shared" si="451"/>
        <v>59.3728006365246</v>
      </c>
      <c r="AL496" s="32">
        <f t="shared" si="452"/>
        <v>1.5539528012259</v>
      </c>
      <c r="AM496" s="32" t="str">
        <f t="shared" si="432"/>
        <v>1-6,00752257108307i</v>
      </c>
      <c r="AN496" s="32">
        <f t="shared" si="453"/>
        <v>6.09018287427172</v>
      </c>
      <c r="AO496" s="32">
        <f t="shared" si="454"/>
        <v>-1.40585071439523</v>
      </c>
      <c r="AP496" s="30" t="str">
        <f t="shared" si="455"/>
        <v>3,36003953910844-22,4824489148365i</v>
      </c>
      <c r="AQ496" s="32">
        <f t="shared" si="456"/>
        <v>27.1328080038867</v>
      </c>
      <c r="AR496" s="31">
        <f t="shared" si="457"/>
        <v>-81.4999625184134</v>
      </c>
      <c r="AS496" t="str">
        <f t="shared" si="433"/>
        <v>-0,000100699300699301</v>
      </c>
      <c r="AT496" t="str">
        <f t="shared" si="434"/>
        <v>0,850712747971214i</v>
      </c>
      <c r="AU496">
        <f t="shared" si="458"/>
        <v>0.850712747971214</v>
      </c>
      <c r="AV496">
        <f t="shared" si="459"/>
        <v>1.5707963267949</v>
      </c>
      <c r="AW496" t="str">
        <f t="shared" si="435"/>
        <v>1+43,5549323343569i</v>
      </c>
      <c r="AX496">
        <f t="shared" si="460"/>
        <v>43.5664105779947</v>
      </c>
      <c r="AY496">
        <f t="shared" si="461"/>
        <v>1.5478408476126</v>
      </c>
      <c r="AZ496" t="str">
        <f t="shared" si="436"/>
        <v>1+2082,29644585744i</v>
      </c>
      <c r="BA496">
        <f t="shared" si="462"/>
        <v>2082.29668597693</v>
      </c>
      <c r="BB496">
        <f t="shared" si="463"/>
        <v>1.57031608781398</v>
      </c>
      <c r="BC496" s="30" t="str">
        <f t="shared" si="464"/>
        <v>-0,000127145829662778+0,00565619851621608i</v>
      </c>
      <c r="BD496" s="32">
        <f t="shared" si="465"/>
        <v>-44.9473131649324</v>
      </c>
      <c r="BE496" s="31">
        <f t="shared" si="466"/>
        <v>91.2877364070817</v>
      </c>
      <c r="BF496" s="30" t="str">
        <f t="shared" si="467"/>
        <v>-0,00203444752683368-0,0125714232203169i</v>
      </c>
      <c r="BG496" s="68">
        <f t="shared" si="468"/>
        <v>-37.9000361834235</v>
      </c>
      <c r="BH496" s="31">
        <f t="shared" si="469"/>
        <v>-99.1925443716676</v>
      </c>
      <c r="BI496" s="30" t="str">
        <f t="shared" si="423"/>
        <v>0,126737979178102+0,0218636002756604i</v>
      </c>
      <c r="BJ496" s="68">
        <f t="shared" si="470"/>
        <v>-17.8145051610458</v>
      </c>
      <c r="BK496" s="31">
        <f t="shared" si="424"/>
        <v>9.78777388866826</v>
      </c>
      <c r="BL496" s="32">
        <f t="shared" si="471"/>
        <v>-37.9000361834235</v>
      </c>
      <c r="BM496" s="31">
        <f t="shared" si="472"/>
        <v>-99.1925443716676</v>
      </c>
      <c r="BO496">
        <f t="shared" si="473"/>
        <v>0</v>
      </c>
      <c r="BP496">
        <f t="shared" si="474"/>
        <v>0</v>
      </c>
    </row>
    <row r="497" spans="14:68">
      <c r="N497" s="7">
        <v>79</v>
      </c>
      <c r="O497" s="18">
        <f t="shared" si="475"/>
        <v>616595.001861483</v>
      </c>
      <c r="P497" s="86" t="str">
        <f t="shared" si="425"/>
        <v>75</v>
      </c>
      <c r="Q497" s="4" t="str">
        <f t="shared" si="426"/>
        <v>1+6327,82840508818i</v>
      </c>
      <c r="R497" s="4">
        <f t="shared" si="437"/>
        <v>6327.82848410423</v>
      </c>
      <c r="S497" s="4">
        <f t="shared" si="438"/>
        <v>1.570638294698</v>
      </c>
      <c r="T497" s="4" t="str">
        <f t="shared" si="427"/>
        <v>1+60,7471526888466i</v>
      </c>
      <c r="U497" s="4">
        <f t="shared" si="439"/>
        <v>60.7553829697587</v>
      </c>
      <c r="V497" s="4">
        <f t="shared" si="440"/>
        <v>1.55433613662154</v>
      </c>
      <c r="W497" t="str">
        <f t="shared" si="428"/>
        <v>1-31,8651358970512i</v>
      </c>
      <c r="X497" s="4">
        <f t="shared" si="441"/>
        <v>31.8808231659338</v>
      </c>
      <c r="Y497" s="4">
        <f t="shared" si="442"/>
        <v>-1.53942436230733</v>
      </c>
      <c r="Z497" t="str">
        <f t="shared" si="429"/>
        <v>-2,1035869087393+9,99933933850274i</v>
      </c>
      <c r="AA497" s="4">
        <f t="shared" si="443"/>
        <v>10.2182124214144</v>
      </c>
      <c r="AB497" s="4">
        <f t="shared" si="444"/>
        <v>1.77814534645839</v>
      </c>
      <c r="AC497" s="67" t="str">
        <f t="shared" si="445"/>
        <v>-2,20530036643447+0,429337562018793i</v>
      </c>
      <c r="AD497" s="68">
        <f t="shared" si="446"/>
        <v>7.0309185338578</v>
      </c>
      <c r="AE497" s="31">
        <f t="shared" si="447"/>
        <v>168.983212592542</v>
      </c>
      <c r="AF497" s="32" t="str">
        <f t="shared" si="448"/>
        <v>249,914648392112</v>
      </c>
      <c r="AG497" s="32" t="str">
        <f t="shared" si="430"/>
        <v>1+4067,88968898526i</v>
      </c>
      <c r="AH497" s="32">
        <f t="shared" si="449"/>
        <v>4067.88981189911</v>
      </c>
      <c r="AI497" s="32">
        <f t="shared" si="450"/>
        <v>1.57055049909151</v>
      </c>
      <c r="AJ497" s="32" t="str">
        <f t="shared" si="431"/>
        <v>1+60,7471526888466i</v>
      </c>
      <c r="AK497" s="32">
        <f t="shared" si="451"/>
        <v>60.7553829697587</v>
      </c>
      <c r="AL497" s="32">
        <f t="shared" si="452"/>
        <v>1.55433613662154</v>
      </c>
      <c r="AM497" s="32" t="str">
        <f t="shared" si="432"/>
        <v>1-6,14745574795775i</v>
      </c>
      <c r="AN497" s="32">
        <f t="shared" si="453"/>
        <v>6.2282591607205</v>
      </c>
      <c r="AO497" s="32">
        <f t="shared" si="454"/>
        <v>-1.40953985043004</v>
      </c>
      <c r="AP497" s="30" t="str">
        <f t="shared" si="455"/>
        <v>3,36003883691166-23,003275964883i</v>
      </c>
      <c r="AQ497" s="32">
        <f t="shared" si="456"/>
        <v>27.3274794022617</v>
      </c>
      <c r="AR497" s="31">
        <f t="shared" si="457"/>
        <v>-81.6896990221674</v>
      </c>
      <c r="AS497" t="str">
        <f t="shared" si="433"/>
        <v>-0,000100699300699301</v>
      </c>
      <c r="AT497" t="str">
        <f t="shared" si="434"/>
        <v>0,870528393442846i</v>
      </c>
      <c r="AU497">
        <f t="shared" si="458"/>
        <v>0.870528393442846</v>
      </c>
      <c r="AV497">
        <f t="shared" si="459"/>
        <v>1.5707963267949</v>
      </c>
      <c r="AW497" t="str">
        <f t="shared" si="435"/>
        <v>1+44,5694570370098i</v>
      </c>
      <c r="AX497">
        <f t="shared" si="460"/>
        <v>44.5806740704295</v>
      </c>
      <c r="AY497">
        <f t="shared" si="461"/>
        <v>1.54836320078305</v>
      </c>
      <c r="AZ497" t="str">
        <f t="shared" si="436"/>
        <v>1+2130,79936089704i</v>
      </c>
      <c r="BA497">
        <f t="shared" si="462"/>
        <v>2130.79959555075</v>
      </c>
      <c r="BB497">
        <f t="shared" si="463"/>
        <v>1.57032701938617</v>
      </c>
      <c r="BC497" s="30" t="str">
        <f t="shared" si="464"/>
        <v>-0,000121426204011286+0,00552757604977234i</v>
      </c>
      <c r="BD497" s="32">
        <f t="shared" si="465"/>
        <v>-45.1472102259639</v>
      </c>
      <c r="BE497" s="31">
        <f t="shared" si="466"/>
        <v>91.2584341079497</v>
      </c>
      <c r="BF497" s="30" t="str">
        <f t="shared" si="467"/>
        <v>-0,00210541477288189-0,0122420983184527i</v>
      </c>
      <c r="BG497" s="68">
        <f t="shared" si="468"/>
        <v>-38.1162916921061</v>
      </c>
      <c r="BH497" s="31">
        <f t="shared" si="469"/>
        <v>-99.7583532995078</v>
      </c>
      <c r="BI497" s="30" t="str">
        <f t="shared" si="423"/>
        <v>0,126744360528494+0,0213660706814576i</v>
      </c>
      <c r="BJ497" s="68">
        <f t="shared" si="470"/>
        <v>-17.8197308237022</v>
      </c>
      <c r="BK497" s="31">
        <f t="shared" si="424"/>
        <v>9.56873508578233</v>
      </c>
      <c r="BL497" s="32">
        <f t="shared" si="471"/>
        <v>-38.1162916921061</v>
      </c>
      <c r="BM497" s="31">
        <f t="shared" si="472"/>
        <v>-99.7583532995078</v>
      </c>
      <c r="BO497">
        <f t="shared" si="473"/>
        <v>0</v>
      </c>
      <c r="BP497">
        <f t="shared" si="474"/>
        <v>0</v>
      </c>
    </row>
    <row r="498" spans="14:68">
      <c r="N498" s="7">
        <v>80</v>
      </c>
      <c r="O498" s="18">
        <f t="shared" si="475"/>
        <v>630957.344480194</v>
      </c>
      <c r="P498" s="86" t="str">
        <f t="shared" si="425"/>
        <v>75</v>
      </c>
      <c r="Q498" s="4" t="str">
        <f t="shared" si="426"/>
        <v>1+6475,22246328183i</v>
      </c>
      <c r="R498" s="4">
        <f t="shared" si="437"/>
        <v>6475.22254049925</v>
      </c>
      <c r="S498" s="4">
        <f t="shared" si="438"/>
        <v>1.57064189194764</v>
      </c>
      <c r="T498" s="4" t="str">
        <f t="shared" si="427"/>
        <v>1+62,1621356475056i</v>
      </c>
      <c r="U498" s="4">
        <f t="shared" si="439"/>
        <v>62.1701786088707</v>
      </c>
      <c r="V498" s="4">
        <f t="shared" si="440"/>
        <v>1.55471075091317</v>
      </c>
      <c r="W498" t="str">
        <f t="shared" si="428"/>
        <v>1-32,6073702615264i</v>
      </c>
      <c r="X498" s="4">
        <f t="shared" si="441"/>
        <v>32.6227006143311</v>
      </c>
      <c r="Y498" s="4">
        <f t="shared" si="442"/>
        <v>-1.54013802280371</v>
      </c>
      <c r="Z498" t="str">
        <f t="shared" si="429"/>
        <v>-2,24985445349795+10,2322538725271i</v>
      </c>
      <c r="AA498" s="4">
        <f t="shared" si="443"/>
        <v>10.4766819353157</v>
      </c>
      <c r="AB498" s="4">
        <f t="shared" si="444"/>
        <v>1.7872309076376</v>
      </c>
      <c r="AC498" s="67" t="str">
        <f t="shared" si="445"/>
        <v>-2,19679452166536+0,449218624937039i</v>
      </c>
      <c r="AD498" s="68">
        <f t="shared" si="446"/>
        <v>7.01369661763077</v>
      </c>
      <c r="AE498" s="31">
        <f t="shared" si="447"/>
        <v>168.443016258651</v>
      </c>
      <c r="AF498" s="32" t="str">
        <f t="shared" si="448"/>
        <v>249,914648392112</v>
      </c>
      <c r="AG498" s="32" t="str">
        <f t="shared" si="430"/>
        <v>1+4162,64301210975i</v>
      </c>
      <c r="AH498" s="32">
        <f t="shared" si="449"/>
        <v>4162.64313222574</v>
      </c>
      <c r="AI498" s="32">
        <f t="shared" si="450"/>
        <v>1.57055609481299</v>
      </c>
      <c r="AJ498" s="32" t="str">
        <f t="shared" si="431"/>
        <v>1+62,1621356475056i</v>
      </c>
      <c r="AK498" s="32">
        <f t="shared" si="451"/>
        <v>62.1701786088707</v>
      </c>
      <c r="AL498" s="32">
        <f t="shared" si="452"/>
        <v>1.55471075091317</v>
      </c>
      <c r="AM498" s="32" t="str">
        <f t="shared" si="432"/>
        <v>1-6,2906483872412i</v>
      </c>
      <c r="AN498" s="32">
        <f t="shared" si="453"/>
        <v>6.36963555722777</v>
      </c>
      <c r="AO498" s="32">
        <f t="shared" si="454"/>
        <v>-1.41314929500092</v>
      </c>
      <c r="AP498" s="30" t="str">
        <f t="shared" si="455"/>
        <v>3,36003816631894-23,536299656315i</v>
      </c>
      <c r="AQ498" s="32">
        <f t="shared" si="456"/>
        <v>27.5223846426414</v>
      </c>
      <c r="AR498" s="31">
        <f t="shared" si="457"/>
        <v>-81.8753617558337</v>
      </c>
      <c r="AS498" t="str">
        <f t="shared" si="433"/>
        <v>-0,000100699300699301</v>
      </c>
      <c r="AT498" t="str">
        <f t="shared" si="434"/>
        <v>0,890805604591487i</v>
      </c>
      <c r="AU498">
        <f t="shared" si="458"/>
        <v>0.890805604591487</v>
      </c>
      <c r="AV498">
        <f t="shared" si="459"/>
        <v>1.5707963267949</v>
      </c>
      <c r="AW498" t="str">
        <f t="shared" si="435"/>
        <v>1+45,6076130557302i</v>
      </c>
      <c r="AX498">
        <f t="shared" si="460"/>
        <v>45.6185748203647</v>
      </c>
      <c r="AY498">
        <f t="shared" si="461"/>
        <v>1.5488736755751</v>
      </c>
      <c r="AZ498" t="str">
        <f t="shared" si="436"/>
        <v>1+2180,43205396225i</v>
      </c>
      <c r="BA498">
        <f t="shared" si="462"/>
        <v>2180.43228327459</v>
      </c>
      <c r="BB498">
        <f t="shared" si="463"/>
        <v>1.5703377021255</v>
      </c>
      <c r="BC498" s="30" t="str">
        <f t="shared" si="464"/>
        <v>-0,000115963750690342+0,00540187282814838i</v>
      </c>
      <c r="BD498" s="32">
        <f t="shared" si="465"/>
        <v>-45.3471119177324</v>
      </c>
      <c r="BE498" s="31">
        <f t="shared" si="466"/>
        <v>91.2297981326945</v>
      </c>
      <c r="BF498" s="30" t="str">
        <f t="shared" si="467"/>
        <v>-0,00217187335171726-0,011918897712237i</v>
      </c>
      <c r="BG498" s="68">
        <f t="shared" si="468"/>
        <v>-38.3334153001016</v>
      </c>
      <c r="BH498" s="31">
        <f t="shared" si="469"/>
        <v>-100.327185608655</v>
      </c>
      <c r="BI498" s="30" t="str">
        <f t="shared" ref="BI498:BI560" si="476">IMPRODUCT(AP498,BC498)</f>
        <v>0,126750454960377+0,0208798564576979i</v>
      </c>
      <c r="BJ498" s="68">
        <f t="shared" si="470"/>
        <v>-17.824727275091</v>
      </c>
      <c r="BK498" s="31">
        <f t="shared" ref="BK498:BK560" si="477">(180/PI())*IMARGUMENT(BI498)</f>
        <v>9.35443637686085</v>
      </c>
      <c r="BL498" s="32">
        <f t="shared" si="471"/>
        <v>-38.3334153001016</v>
      </c>
      <c r="BM498" s="31">
        <f t="shared" si="472"/>
        <v>-100.327185608655</v>
      </c>
      <c r="BO498">
        <f t="shared" si="473"/>
        <v>0</v>
      </c>
      <c r="BP498">
        <f t="shared" si="474"/>
        <v>0</v>
      </c>
    </row>
    <row r="499" spans="14:68">
      <c r="N499" s="7">
        <v>81</v>
      </c>
      <c r="O499" s="18">
        <f t="shared" si="475"/>
        <v>645654.229034657</v>
      </c>
      <c r="P499" s="86" t="str">
        <f t="shared" si="425"/>
        <v>75</v>
      </c>
      <c r="Q499" s="4" t="str">
        <f t="shared" si="426"/>
        <v>1+6626,04977013523i</v>
      </c>
      <c r="R499" s="4">
        <f t="shared" si="437"/>
        <v>6626.04984559497</v>
      </c>
      <c r="S499" s="4">
        <f t="shared" si="438"/>
        <v>1.57064540731389</v>
      </c>
      <c r="T499" s="4" t="str">
        <f t="shared" si="427"/>
        <v>1+63,6100777932983i</v>
      </c>
      <c r="U499" s="4">
        <f t="shared" si="439"/>
        <v>63.6179376973937</v>
      </c>
      <c r="V499" s="4">
        <f t="shared" si="440"/>
        <v>1.55507684230543</v>
      </c>
      <c r="W499" t="str">
        <f t="shared" si="428"/>
        <v>1-33,3668934853239i</v>
      </c>
      <c r="X499" s="4">
        <f t="shared" si="441"/>
        <v>33.3818750351287</v>
      </c>
      <c r="Y499" s="4">
        <f t="shared" si="442"/>
        <v>-1.54083546859103</v>
      </c>
      <c r="Z499" t="str">
        <f t="shared" si="429"/>
        <v>-2,40301537526808+10,4705936829946i</v>
      </c>
      <c r="AA499" s="4">
        <f t="shared" si="443"/>
        <v>10.7428029381601</v>
      </c>
      <c r="AB499" s="4">
        <f t="shared" si="444"/>
        <v>1.79639106556543</v>
      </c>
      <c r="AC499" s="67" t="str">
        <f t="shared" si="445"/>
        <v>-2,18786347020916+0,469077577009554i</v>
      </c>
      <c r="AD499" s="68">
        <f t="shared" si="446"/>
        <v>6.99558538015289</v>
      </c>
      <c r="AE499" s="31">
        <f t="shared" si="447"/>
        <v>167.898991245704</v>
      </c>
      <c r="AF499" s="32" t="str">
        <f t="shared" si="448"/>
        <v>249,914648392112</v>
      </c>
      <c r="AG499" s="32" t="str">
        <f t="shared" si="430"/>
        <v>1+4259,60342365836i</v>
      </c>
      <c r="AH499" s="32">
        <f t="shared" si="449"/>
        <v>4259.60354104018</v>
      </c>
      <c r="AI499" s="32">
        <f t="shared" si="450"/>
        <v>1.57056156316031</v>
      </c>
      <c r="AJ499" s="32" t="str">
        <f t="shared" si="431"/>
        <v>1+63,6100777932983i</v>
      </c>
      <c r="AK499" s="32">
        <f t="shared" si="451"/>
        <v>63.6179376973937</v>
      </c>
      <c r="AL499" s="32">
        <f t="shared" si="452"/>
        <v>1.55507684230543</v>
      </c>
      <c r="AM499" s="32" t="str">
        <f t="shared" si="432"/>
        <v>1-6,43717641156616i</v>
      </c>
      <c r="AN499" s="32">
        <f t="shared" si="453"/>
        <v>6.51438716638977</v>
      </c>
      <c r="AO499" s="32">
        <f t="shared" si="454"/>
        <v>-1.41668058549821</v>
      </c>
      <c r="AP499" s="30" t="str">
        <f t="shared" si="455"/>
        <v>3,3600375259079-24,0818026053501i</v>
      </c>
      <c r="AQ499" s="32">
        <f t="shared" si="456"/>
        <v>27.7175137142852</v>
      </c>
      <c r="AR499" s="31">
        <f t="shared" si="457"/>
        <v>-82.0570276190928</v>
      </c>
      <c r="AS499" t="str">
        <f t="shared" si="433"/>
        <v>-0,000100699300699301</v>
      </c>
      <c r="AT499" t="str">
        <f t="shared" si="434"/>
        <v>0,91155513266289i</v>
      </c>
      <c r="AU499">
        <f t="shared" si="458"/>
        <v>0.91155513266289</v>
      </c>
      <c r="AV499">
        <f t="shared" si="459"/>
        <v>1.5707963267949</v>
      </c>
      <c r="AW499" t="str">
        <f t="shared" si="435"/>
        <v>1+46,6699508345811i</v>
      </c>
      <c r="AX499">
        <f t="shared" si="460"/>
        <v>46.6806631369159</v>
      </c>
      <c r="AY499">
        <f t="shared" si="461"/>
        <v>1.54937254158448</v>
      </c>
      <c r="AZ499" t="str">
        <f t="shared" si="436"/>
        <v>1+2231,2208409639i</v>
      </c>
      <c r="BA499">
        <f t="shared" si="462"/>
        <v>2231.22106505645</v>
      </c>
      <c r="BB499">
        <f t="shared" si="463"/>
        <v>1.5703481416961</v>
      </c>
      <c r="BC499" s="30" t="str">
        <f t="shared" si="464"/>
        <v>-0,000110746917304103+0,00527902297195662i</v>
      </c>
      <c r="BD499" s="32">
        <f t="shared" si="465"/>
        <v>-45.547018032021</v>
      </c>
      <c r="BE499" s="31">
        <f t="shared" si="466"/>
        <v>91.2018133591501</v>
      </c>
      <c r="BF499" s="30" t="str">
        <f t="shared" si="467"/>
        <v>-0,00223397216985526-0,0116017304143692i</v>
      </c>
      <c r="BG499" s="68">
        <f t="shared" si="468"/>
        <v>-38.5514326518681</v>
      </c>
      <c r="BH499" s="31">
        <f t="shared" si="469"/>
        <v>-100.899195395146</v>
      </c>
      <c r="BI499" s="30" t="str">
        <f t="shared" si="476"/>
        <v>0,126756275361748+0,0204047006875725i</v>
      </c>
      <c r="BJ499" s="68">
        <f t="shared" si="470"/>
        <v>-17.8295043177358</v>
      </c>
      <c r="BK499" s="31">
        <f t="shared" si="477"/>
        <v>9.14478574005723</v>
      </c>
      <c r="BL499" s="32">
        <f t="shared" si="471"/>
        <v>-38.5514326518681</v>
      </c>
      <c r="BM499" s="31">
        <f t="shared" si="472"/>
        <v>-100.899195395146</v>
      </c>
      <c r="BO499">
        <f t="shared" si="473"/>
        <v>0</v>
      </c>
      <c r="BP499">
        <f t="shared" si="474"/>
        <v>0</v>
      </c>
    </row>
    <row r="500" spans="14:68">
      <c r="N500" s="7">
        <v>82</v>
      </c>
      <c r="O500" s="18">
        <f t="shared" si="475"/>
        <v>660693.448007597</v>
      </c>
      <c r="P500" s="86" t="str">
        <f t="shared" si="425"/>
        <v>75</v>
      </c>
      <c r="Q500" s="4" t="str">
        <f t="shared" si="426"/>
        <v>1+6780,39029628288i</v>
      </c>
      <c r="R500" s="4">
        <f t="shared" si="437"/>
        <v>6780.39037002495</v>
      </c>
      <c r="S500" s="4">
        <f t="shared" si="438"/>
        <v>1.57064884266064</v>
      </c>
      <c r="T500" s="4" t="str">
        <f t="shared" si="427"/>
        <v>1+65,0917468443157i</v>
      </c>
      <c r="U500" s="4">
        <f t="shared" si="439"/>
        <v>65.0994278565064</v>
      </c>
      <c r="V500" s="4">
        <f t="shared" si="440"/>
        <v>1.55543460451209</v>
      </c>
      <c r="W500" t="str">
        <f t="shared" si="428"/>
        <v>1-34,1441082777102i</v>
      </c>
      <c r="X500" s="4">
        <f t="shared" si="441"/>
        <v>34.1587489536722</v>
      </c>
      <c r="Y500" s="4">
        <f t="shared" si="442"/>
        <v>-1.54151706674863</v>
      </c>
      <c r="Z500" t="str">
        <f t="shared" si="429"/>
        <v>-2,56339454889933+10,7144851408275i</v>
      </c>
      <c r="AA500" s="4">
        <f t="shared" si="443"/>
        <v>11.0168590553905</v>
      </c>
      <c r="AB500" s="4">
        <f t="shared" si="444"/>
        <v>1.80562797144791</v>
      </c>
      <c r="AC500" s="67" t="str">
        <f t="shared" si="445"/>
        <v>-2,17849966204301+0,48890873643561i</v>
      </c>
      <c r="AD500" s="68">
        <f t="shared" si="446"/>
        <v>6.9765579974008</v>
      </c>
      <c r="AE500" s="31">
        <f t="shared" si="447"/>
        <v>167.351004258764</v>
      </c>
      <c r="AF500" s="32" t="str">
        <f t="shared" si="448"/>
        <v>249,914648392112</v>
      </c>
      <c r="AG500" s="32" t="str">
        <f t="shared" si="430"/>
        <v>1+4358,82233332471i</v>
      </c>
      <c r="AH500" s="32">
        <f t="shared" si="449"/>
        <v>4358.82244803459</v>
      </c>
      <c r="AI500" s="32">
        <f t="shared" si="450"/>
        <v>1.57056690703286</v>
      </c>
      <c r="AJ500" s="32" t="str">
        <f t="shared" si="431"/>
        <v>1+65,0917468443157i</v>
      </c>
      <c r="AK500" s="32">
        <f t="shared" si="451"/>
        <v>65.0994278565064</v>
      </c>
      <c r="AL500" s="32">
        <f t="shared" si="452"/>
        <v>1.55543460451209</v>
      </c>
      <c r="AM500" s="32" t="str">
        <f t="shared" si="432"/>
        <v>1-6,58711751203062i</v>
      </c>
      <c r="AN500" s="32">
        <f t="shared" si="453"/>
        <v>6.66259087122273</v>
      </c>
      <c r="AO500" s="32">
        <f t="shared" si="454"/>
        <v>-1.42013524179658</v>
      </c>
      <c r="AP500" s="30" t="str">
        <f t="shared" si="455"/>
        <v>3,36003691432007-24,6400740448732i</v>
      </c>
      <c r="AQ500" s="32">
        <f t="shared" si="456"/>
        <v>27.9128570133941</v>
      </c>
      <c r="AR500" s="31">
        <f t="shared" si="457"/>
        <v>-82.2347727614905</v>
      </c>
      <c r="AS500" t="str">
        <f t="shared" si="433"/>
        <v>-0,000100699300699301</v>
      </c>
      <c r="AT500" t="str">
        <f t="shared" si="434"/>
        <v>0,932787979331488i</v>
      </c>
      <c r="AU500">
        <f t="shared" si="458"/>
        <v>0.932787979331488</v>
      </c>
      <c r="AV500">
        <f t="shared" si="459"/>
        <v>1.5707963267949</v>
      </c>
      <c r="AW500" t="str">
        <f t="shared" si="435"/>
        <v>1+47,757033639114i</v>
      </c>
      <c r="AX500">
        <f t="shared" si="460"/>
        <v>47.7675021537391</v>
      </c>
      <c r="AY500">
        <f t="shared" si="461"/>
        <v>1.54986006232275</v>
      </c>
      <c r="AZ500" t="str">
        <f t="shared" si="436"/>
        <v>1+2283,19265078913i</v>
      </c>
      <c r="BA500">
        <f t="shared" si="462"/>
        <v>2283.19286978071</v>
      </c>
      <c r="BB500">
        <f t="shared" si="463"/>
        <v>1.57035834363316</v>
      </c>
      <c r="BC500" s="30" t="str">
        <f t="shared" si="464"/>
        <v>-0,000105764669443074+0,00515896206337895i</v>
      </c>
      <c r="BD500" s="32">
        <f t="shared" si="465"/>
        <v>-45.7469283699663</v>
      </c>
      <c r="BE500" s="31">
        <f t="shared" si="466"/>
        <v>91.174465006358</v>
      </c>
      <c r="BF500" s="30" t="str">
        <f t="shared" si="467"/>
        <v>-0,00229185332708802-0,0112905063824607i</v>
      </c>
      <c r="BG500" s="68">
        <f t="shared" si="468"/>
        <v>-38.7703703725655</v>
      </c>
      <c r="BH500" s="31">
        <f t="shared" si="469"/>
        <v>-101.474530734878</v>
      </c>
      <c r="BI500" s="30" t="str">
        <f t="shared" si="476"/>
        <v>0,12676183404279+0,019940352258939i</v>
      </c>
      <c r="BJ500" s="68">
        <f t="shared" si="470"/>
        <v>-17.8340713565721</v>
      </c>
      <c r="BK500" s="31">
        <f t="shared" si="477"/>
        <v>8.93969224486743</v>
      </c>
      <c r="BL500" s="32">
        <f t="shared" si="471"/>
        <v>-38.7703703725655</v>
      </c>
      <c r="BM500" s="31">
        <f t="shared" si="472"/>
        <v>-101.474530734878</v>
      </c>
      <c r="BO500">
        <f t="shared" si="473"/>
        <v>0</v>
      </c>
      <c r="BP500">
        <f t="shared" si="474"/>
        <v>0</v>
      </c>
    </row>
    <row r="501" spans="14:68">
      <c r="N501" s="7">
        <v>83</v>
      </c>
      <c r="O501" s="18">
        <f t="shared" si="475"/>
        <v>676082.975391983</v>
      </c>
      <c r="P501" s="86" t="str">
        <f t="shared" si="425"/>
        <v>75</v>
      </c>
      <c r="Q501" s="4" t="str">
        <f t="shared" si="426"/>
        <v>1+6938,32587511471i</v>
      </c>
      <c r="R501" s="4">
        <f t="shared" si="437"/>
        <v>6938.3259471782</v>
      </c>
      <c r="S501" s="4">
        <f t="shared" si="438"/>
        <v>1.57065219980936</v>
      </c>
      <c r="T501" s="4" t="str">
        <f t="shared" si="427"/>
        <v>1+66,6079284011013i</v>
      </c>
      <c r="U501" s="4">
        <f t="shared" si="439"/>
        <v>66.6154345920391</v>
      </c>
      <c r="V501" s="4">
        <f t="shared" si="440"/>
        <v>1.55578422685686</v>
      </c>
      <c r="W501" t="str">
        <f t="shared" si="428"/>
        <v>1-34,9394267282562i</v>
      </c>
      <c r="X501" s="4">
        <f t="shared" si="441"/>
        <v>34.9537342797473</v>
      </c>
      <c r="Y501" s="4">
        <f t="shared" si="442"/>
        <v>-1.54218317613422</v>
      </c>
      <c r="Z501" t="str">
        <f t="shared" si="429"/>
        <v>-2,73133216012148+10,9640575605051i</v>
      </c>
      <c r="AA501" s="4">
        <f t="shared" si="443"/>
        <v>11.2991474704503</v>
      </c>
      <c r="AB501" s="4">
        <f t="shared" si="444"/>
        <v>1.81494367553009</v>
      </c>
      <c r="AC501" s="67" t="str">
        <f t="shared" si="445"/>
        <v>-2,16869552171428+0,508705750546761i</v>
      </c>
      <c r="AD501" s="68">
        <f t="shared" si="446"/>
        <v>6.9565866852959</v>
      </c>
      <c r="AE501" s="31">
        <f t="shared" si="447"/>
        <v>166.7989280095</v>
      </c>
      <c r="AF501" s="32" t="str">
        <f t="shared" si="448"/>
        <v>249,914648392112</v>
      </c>
      <c r="AG501" s="32" t="str">
        <f t="shared" si="430"/>
        <v>1+4460,35234828803i</v>
      </c>
      <c r="AH501" s="32">
        <f t="shared" si="449"/>
        <v>4460.3524603868</v>
      </c>
      <c r="AI501" s="32">
        <f t="shared" si="450"/>
        <v>1.57057212926404</v>
      </c>
      <c r="AJ501" s="32" t="str">
        <f t="shared" si="431"/>
        <v>1+66,6079284011013i</v>
      </c>
      <c r="AK501" s="32">
        <f t="shared" si="451"/>
        <v>66.6154345920391</v>
      </c>
      <c r="AL501" s="32">
        <f t="shared" si="452"/>
        <v>1.55578422685686</v>
      </c>
      <c r="AM501" s="32" t="str">
        <f t="shared" si="432"/>
        <v>1-6,74055118939078i</v>
      </c>
      <c r="AN501" s="32">
        <f t="shared" si="453"/>
        <v>6.81432537649894</v>
      </c>
      <c r="AO501" s="32">
        <f t="shared" si="454"/>
        <v>-1.42351476558982</v>
      </c>
      <c r="AP501" s="30" t="str">
        <f t="shared" si="455"/>
        <v>3,36003633025823-25,2114099777922i</v>
      </c>
      <c r="AQ501" s="32">
        <f t="shared" si="456"/>
        <v>28.1084053284329</v>
      </c>
      <c r="AR501" s="31">
        <f t="shared" si="457"/>
        <v>-82.4086725386343</v>
      </c>
      <c r="AS501" t="str">
        <f t="shared" si="433"/>
        <v>-0,000100699300699301</v>
      </c>
      <c r="AT501" t="str">
        <f t="shared" si="434"/>
        <v>0,954515402533637i</v>
      </c>
      <c r="AU501">
        <f t="shared" si="458"/>
        <v>0.954515402533637</v>
      </c>
      <c r="AV501">
        <f t="shared" si="459"/>
        <v>1.5707963267949</v>
      </c>
      <c r="AW501" t="str">
        <f t="shared" si="435"/>
        <v>1+48,8694378550218i</v>
      </c>
      <c r="AX501">
        <f t="shared" si="460"/>
        <v>48.8796681276156</v>
      </c>
      <c r="AY501">
        <f t="shared" si="461"/>
        <v>1.55033649535237</v>
      </c>
      <c r="AZ501" t="str">
        <f t="shared" si="436"/>
        <v>1+2336,37503957944i</v>
      </c>
      <c r="BA501">
        <f t="shared" si="462"/>
        <v>2336.37525358617</v>
      </c>
      <c r="BB501">
        <f t="shared" si="463"/>
        <v>1.57036831334586</v>
      </c>
      <c r="BC501" s="30" t="str">
        <f t="shared" si="464"/>
        <v>-0,000101006467542819+0,005041627115428i</v>
      </c>
      <c r="BD501" s="32">
        <f t="shared" si="465"/>
        <v>-45.9468427416393</v>
      </c>
      <c r="BE501" s="31">
        <f t="shared" si="466"/>
        <v>91.1477386270014</v>
      </c>
      <c r="BF501" s="30" t="str">
        <f t="shared" si="467"/>
        <v>-0,00234565243190641-0,0109851367182634i</v>
      </c>
      <c r="BG501" s="68">
        <f t="shared" si="468"/>
        <v>-38.9902560563434</v>
      </c>
      <c r="BH501" s="31">
        <f t="shared" si="469"/>
        <v>-102.053333363498</v>
      </c>
      <c r="BI501" s="30" t="str">
        <f t="shared" si="476"/>
        <v>0,126767142761674+0,0194865657350837i</v>
      </c>
      <c r="BJ501" s="68">
        <f t="shared" si="470"/>
        <v>-17.8384374132064</v>
      </c>
      <c r="BK501" s="31">
        <f t="shared" si="477"/>
        <v>8.73906608836707</v>
      </c>
      <c r="BL501" s="32">
        <f t="shared" si="471"/>
        <v>-38.9902560563434</v>
      </c>
      <c r="BM501" s="31">
        <f t="shared" si="472"/>
        <v>-102.053333363498</v>
      </c>
      <c r="BO501">
        <f t="shared" si="473"/>
        <v>0</v>
      </c>
      <c r="BP501">
        <f t="shared" si="474"/>
        <v>0</v>
      </c>
    </row>
    <row r="502" spans="14:68">
      <c r="N502" s="7">
        <v>84</v>
      </c>
      <c r="O502" s="18">
        <f t="shared" si="475"/>
        <v>691830.970918937</v>
      </c>
      <c r="P502" s="86" t="str">
        <f t="shared" si="425"/>
        <v>75</v>
      </c>
      <c r="Q502" s="4" t="str">
        <f t="shared" si="426"/>
        <v>1+7099,94024616509i</v>
      </c>
      <c r="R502" s="4">
        <f t="shared" si="437"/>
        <v>7099.94031658822</v>
      </c>
      <c r="S502" s="4">
        <f t="shared" si="438"/>
        <v>1.57065548054004</v>
      </c>
      <c r="T502" s="4" t="str">
        <f t="shared" si="427"/>
        <v>1+68,159426363185i</v>
      </c>
      <c r="U502" s="4">
        <f t="shared" si="439"/>
        <v>68.1667617109573</v>
      </c>
      <c r="V502" s="4">
        <f t="shared" si="440"/>
        <v>1.55612589437204</v>
      </c>
      <c r="W502" t="str">
        <f t="shared" si="428"/>
        <v>1-35,7532705253314i</v>
      </c>
      <c r="X502" s="4">
        <f t="shared" si="441"/>
        <v>35.7672525259843</v>
      </c>
      <c r="Y502" s="4">
        <f t="shared" si="442"/>
        <v>-1.54283414756201</v>
      </c>
      <c r="Z502" t="str">
        <f t="shared" si="429"/>
        <v>-2,90718442712361+11,2194432686276i</v>
      </c>
      <c r="AA502" s="4">
        <f t="shared" si="443"/>
        <v>11.5899796613826</v>
      </c>
      <c r="AB502" s="4">
        <f t="shared" si="444"/>
        <v>1.82434012113465</v>
      </c>
      <c r="AC502" s="67" t="str">
        <f t="shared" si="445"/>
        <v>-2,15844348763977+0,528461575883397i</v>
      </c>
      <c r="AD502" s="68">
        <f t="shared" si="446"/>
        <v>6.9356427135366</v>
      </c>
      <c r="AE502" s="31">
        <f t="shared" si="447"/>
        <v>166.242641553134</v>
      </c>
      <c r="AF502" s="32" t="str">
        <f t="shared" si="448"/>
        <v>249,914648392112</v>
      </c>
      <c r="AG502" s="32" t="str">
        <f t="shared" si="430"/>
        <v>1+4564,24730110613i</v>
      </c>
      <c r="AH502" s="32">
        <f t="shared" si="449"/>
        <v>4564.24741065322</v>
      </c>
      <c r="AI502" s="32">
        <f t="shared" si="450"/>
        <v>1.57057723262273</v>
      </c>
      <c r="AJ502" s="32" t="str">
        <f t="shared" si="431"/>
        <v>1+68,159426363185i</v>
      </c>
      <c r="AK502" s="32">
        <f t="shared" si="451"/>
        <v>68.1667617109573</v>
      </c>
      <c r="AL502" s="32">
        <f t="shared" si="452"/>
        <v>1.55612589437204</v>
      </c>
      <c r="AM502" s="32" t="str">
        <f t="shared" si="432"/>
        <v>1-6,89755879621327i</v>
      </c>
      <c r="AN502" s="32">
        <f t="shared" si="453"/>
        <v>6.96967125101457</v>
      </c>
      <c r="AO502" s="32">
        <f t="shared" si="454"/>
        <v>-1.4268206398012</v>
      </c>
      <c r="AP502" s="30" t="str">
        <f t="shared" si="455"/>
        <v>3,3600357724835-25,7961133339823i</v>
      </c>
      <c r="AQ502" s="32">
        <f t="shared" si="456"/>
        <v>28.3041498258177</v>
      </c>
      <c r="AR502" s="31">
        <f t="shared" si="457"/>
        <v>-82.578801472845</v>
      </c>
      <c r="AS502" t="str">
        <f t="shared" si="433"/>
        <v>-0,000100699300699301</v>
      </c>
      <c r="AT502" t="str">
        <f t="shared" si="434"/>
        <v>0,976748922436713i</v>
      </c>
      <c r="AU502">
        <f t="shared" si="458"/>
        <v>0.976748922436713</v>
      </c>
      <c r="AV502">
        <f t="shared" si="459"/>
        <v>1.5707963267949</v>
      </c>
      <c r="AW502" t="str">
        <f t="shared" si="435"/>
        <v>1+50,0077532937434i</v>
      </c>
      <c r="AX502">
        <f t="shared" si="460"/>
        <v>50.0177507439899</v>
      </c>
      <c r="AY502">
        <f t="shared" si="461"/>
        <v>1.55080209241876</v>
      </c>
      <c r="AZ502" t="str">
        <f t="shared" si="436"/>
        <v>1+2390,79620534131i</v>
      </c>
      <c r="BA502">
        <f t="shared" si="462"/>
        <v>2390.79641447665</v>
      </c>
      <c r="BB502">
        <f t="shared" si="463"/>
        <v>1.57037805612028</v>
      </c>
      <c r="BC502" s="30" t="str">
        <f t="shared" si="464"/>
        <v>-0,0000964622447691258+0,00492695654174093i</v>
      </c>
      <c r="BD502" s="32">
        <f t="shared" si="465"/>
        <v>-46.1467609656443</v>
      </c>
      <c r="BE502" s="31">
        <f t="shared" si="466"/>
        <v>91.1216200999981</v>
      </c>
      <c r="BF502" s="30" t="str">
        <f t="shared" si="467"/>
        <v>-0,00239549891433239-0,0106855338512888i</v>
      </c>
      <c r="BG502" s="68">
        <f t="shared" si="468"/>
        <v>-39.2111182521077</v>
      </c>
      <c r="BH502" s="31">
        <f t="shared" si="469"/>
        <v>-102.635738346868</v>
      </c>
      <c r="BI502" s="30" t="str">
        <f t="shared" si="476"/>
        <v>0,126772212749236+0,0190431012282358i</v>
      </c>
      <c r="BJ502" s="68">
        <f t="shared" si="470"/>
        <v>-17.8426111398267</v>
      </c>
      <c r="BK502" s="31">
        <f t="shared" si="477"/>
        <v>8.5428186271531</v>
      </c>
      <c r="BL502" s="32">
        <f t="shared" si="471"/>
        <v>-39.2111182521077</v>
      </c>
      <c r="BM502" s="31">
        <f t="shared" si="472"/>
        <v>-102.635738346868</v>
      </c>
      <c r="BO502">
        <f t="shared" si="473"/>
        <v>0</v>
      </c>
      <c r="BP502">
        <f t="shared" si="474"/>
        <v>0</v>
      </c>
    </row>
    <row r="503" spans="14:68">
      <c r="N503" s="7">
        <v>85</v>
      </c>
      <c r="O503" s="18">
        <f t="shared" si="475"/>
        <v>707945.784384139</v>
      </c>
      <c r="P503" s="86" t="str">
        <f t="shared" si="425"/>
        <v>75</v>
      </c>
      <c r="Q503" s="4" t="str">
        <f t="shared" si="426"/>
        <v>1+7265,31909951284i</v>
      </c>
      <c r="R503" s="4">
        <f t="shared" si="437"/>
        <v>7265.31916833294</v>
      </c>
      <c r="S503" s="4">
        <f t="shared" si="438"/>
        <v>1.57065868659218</v>
      </c>
      <c r="T503" s="4" t="str">
        <f t="shared" si="427"/>
        <v>1+69,7470633553233i</v>
      </c>
      <c r="U503" s="4">
        <f t="shared" si="439"/>
        <v>69.7542317475541</v>
      </c>
      <c r="V503" s="4">
        <f t="shared" si="440"/>
        <v>1.55645978789503</v>
      </c>
      <c r="W503" t="str">
        <f t="shared" si="428"/>
        <v>1-36,5860711796897i</v>
      </c>
      <c r="X503" s="4">
        <f t="shared" si="441"/>
        <v>36.599735031354</v>
      </c>
      <c r="Y503" s="4">
        <f t="shared" si="442"/>
        <v>-1.54347032397755</v>
      </c>
      <c r="Z503" t="str">
        <f t="shared" si="429"/>
        <v>-3,09132435614104+11,4807776740782i</v>
      </c>
      <c r="AA503" s="4">
        <f t="shared" si="443"/>
        <v>11.8896821772696</v>
      </c>
      <c r="AB503" s="4">
        <f t="shared" si="444"/>
        <v>1.83381913855153</v>
      </c>
      <c r="AC503" s="67" t="str">
        <f t="shared" si="445"/>
        <v>-2,14773605383706+0,548168459949638i</v>
      </c>
      <c r="AD503" s="68">
        <f t="shared" si="446"/>
        <v>6.91369642218132</v>
      </c>
      <c r="AE503" s="31">
        <f t="shared" si="447"/>
        <v>165.682030633997</v>
      </c>
      <c r="AF503" s="32" t="str">
        <f t="shared" si="448"/>
        <v>249,914648392112</v>
      </c>
      <c r="AG503" s="32" t="str">
        <f t="shared" si="430"/>
        <v>1+4670,56227825825i</v>
      </c>
      <c r="AH503" s="32">
        <f t="shared" si="449"/>
        <v>4670.56238531174</v>
      </c>
      <c r="AI503" s="32">
        <f t="shared" si="450"/>
        <v>1.57058221981481</v>
      </c>
      <c r="AJ503" s="32" t="str">
        <f t="shared" si="431"/>
        <v>1+69,7470633553233i</v>
      </c>
      <c r="AK503" s="32">
        <f t="shared" si="451"/>
        <v>69.7542317475541</v>
      </c>
      <c r="AL503" s="32">
        <f t="shared" si="452"/>
        <v>1.55645978789503</v>
      </c>
      <c r="AM503" s="32" t="str">
        <f t="shared" si="432"/>
        <v>1-7,05822358000952i</v>
      </c>
      <c r="AN503" s="32">
        <f t="shared" si="453"/>
        <v>7.1287109708139</v>
      </c>
      <c r="AO503" s="32">
        <f t="shared" si="454"/>
        <v>-1.43005432806473</v>
      </c>
      <c r="AP503" s="30" t="str">
        <f t="shared" si="455"/>
        <v>3,36003523981276-26,3944941309028i</v>
      </c>
      <c r="AQ503" s="32">
        <f t="shared" si="456"/>
        <v>28.5000820359746</v>
      </c>
      <c r="AR503" s="31">
        <f t="shared" si="457"/>
        <v>-82.74523321799</v>
      </c>
      <c r="AS503" t="str">
        <f t="shared" si="433"/>
        <v>-0,000100699300699301</v>
      </c>
      <c r="AT503" t="str">
        <f t="shared" si="434"/>
        <v>0,999500327547267i</v>
      </c>
      <c r="AU503">
        <f t="shared" si="458"/>
        <v>0.999500327547267</v>
      </c>
      <c r="AV503">
        <f t="shared" si="459"/>
        <v>1.5707963267949</v>
      </c>
      <c r="AW503" t="str">
        <f t="shared" si="435"/>
        <v>1+51,1725835051925i</v>
      </c>
      <c r="AX503">
        <f t="shared" si="460"/>
        <v>51.1823534296333</v>
      </c>
      <c r="AY503">
        <f t="shared" si="461"/>
        <v>1.55125709957975</v>
      </c>
      <c r="AZ503" t="str">
        <f t="shared" si="436"/>
        <v>1+2446,48500289718i</v>
      </c>
      <c r="BA503">
        <f t="shared" si="462"/>
        <v>2446.48520727202</v>
      </c>
      <c r="BB503">
        <f t="shared" si="463"/>
        <v>1.57038757712215</v>
      </c>
      <c r="BC503" s="30" t="str">
        <f t="shared" si="464"/>
        <v>-0,0000921223858847022+0,00481489012690277i</v>
      </c>
      <c r="BD503" s="32">
        <f t="shared" si="465"/>
        <v>-46.3466828687368</v>
      </c>
      <c r="BE503" s="31">
        <f t="shared" si="466"/>
        <v>91.0960956232496</v>
      </c>
      <c r="BF503" s="30" t="str">
        <f t="shared" si="467"/>
        <v>-0,00244151633616094-0,0103916117072105i</v>
      </c>
      <c r="BG503" s="68">
        <f t="shared" si="468"/>
        <v>-39.4329864465555</v>
      </c>
      <c r="BH503" s="31">
        <f t="shared" si="469"/>
        <v>-103.221873742753</v>
      </c>
      <c r="BI503" s="30" t="str">
        <f t="shared" si="476"/>
        <v>0,126777054732529+0,0186097242757784i</v>
      </c>
      <c r="BJ503" s="68">
        <f t="shared" si="470"/>
        <v>-17.8466008327622</v>
      </c>
      <c r="BK503" s="31">
        <f t="shared" si="477"/>
        <v>8.35086240525953</v>
      </c>
      <c r="BL503" s="32">
        <f t="shared" si="471"/>
        <v>-39.4329864465555</v>
      </c>
      <c r="BM503" s="31">
        <f t="shared" si="472"/>
        <v>-103.221873742753</v>
      </c>
      <c r="BO503">
        <f t="shared" si="473"/>
        <v>0</v>
      </c>
      <c r="BP503">
        <f t="shared" si="474"/>
        <v>0</v>
      </c>
    </row>
    <row r="504" spans="14:68">
      <c r="N504" s="7">
        <v>86</v>
      </c>
      <c r="O504" s="18">
        <f t="shared" si="475"/>
        <v>724435.960074992</v>
      </c>
      <c r="P504" s="86" t="str">
        <f t="shared" si="425"/>
        <v>75</v>
      </c>
      <c r="Q504" s="4" t="str">
        <f t="shared" si="426"/>
        <v>1+7434,55012121502i</v>
      </c>
      <c r="R504" s="4">
        <f t="shared" si="437"/>
        <v>7434.55018846858</v>
      </c>
      <c r="S504" s="4">
        <f t="shared" si="438"/>
        <v>1.57066181966566</v>
      </c>
      <c r="T504" s="4" t="str">
        <f t="shared" si="427"/>
        <v>1+71,3716811636643i</v>
      </c>
      <c r="U504" s="4">
        <f t="shared" si="439"/>
        <v>71.3786863995672</v>
      </c>
      <c r="V504" s="4">
        <f t="shared" si="440"/>
        <v>1.5567860841626</v>
      </c>
      <c r="W504" t="str">
        <f t="shared" si="428"/>
        <v>1-37,4382702532614i</v>
      </c>
      <c r="X504" s="4">
        <f t="shared" si="441"/>
        <v>37.4516231898731</v>
      </c>
      <c r="Y504" s="4">
        <f t="shared" si="442"/>
        <v>-1.54409204062902</v>
      </c>
      <c r="Z504" t="str">
        <f t="shared" si="429"/>
        <v>-3,28414253265126+11,7481993398175i</v>
      </c>
      <c r="AA504" s="4">
        <f t="shared" si="443"/>
        <v>12.1985974563823</v>
      </c>
      <c r="AB504" s="4">
        <f t="shared" si="444"/>
        <v>1.84338243879239</v>
      </c>
      <c r="AC504" s="67" t="str">
        <f t="shared" si="445"/>
        <v>-2,13656581409434+0,567817924893051i</v>
      </c>
      <c r="AD504" s="68">
        <f t="shared" si="446"/>
        <v>6.89071724119718</v>
      </c>
      <c r="AE504" s="31">
        <f t="shared" si="447"/>
        <v>165.116988038913</v>
      </c>
      <c r="AF504" s="32" t="str">
        <f t="shared" si="448"/>
        <v>249,914648392112</v>
      </c>
      <c r="AG504" s="32" t="str">
        <f t="shared" si="430"/>
        <v>1+4779,35364935251i</v>
      </c>
      <c r="AH504" s="32">
        <f t="shared" si="449"/>
        <v>4779.35375396917</v>
      </c>
      <c r="AI504" s="32">
        <f t="shared" si="450"/>
        <v>1.57058709348454</v>
      </c>
      <c r="AJ504" s="32" t="str">
        <f t="shared" si="431"/>
        <v>1+71,3716811636643i</v>
      </c>
      <c r="AK504" s="32">
        <f t="shared" si="451"/>
        <v>71.3786863995672</v>
      </c>
      <c r="AL504" s="32">
        <f t="shared" si="452"/>
        <v>1.5567860841626</v>
      </c>
      <c r="AM504" s="32" t="str">
        <f t="shared" si="432"/>
        <v>1-7,22263072737453i</v>
      </c>
      <c r="AN504" s="32">
        <f t="shared" si="453"/>
        <v>7.29152896339408</v>
      </c>
      <c r="AO504" s="32">
        <f t="shared" si="454"/>
        <v>-1.43321727427277</v>
      </c>
      <c r="AP504" s="30" t="str">
        <f t="shared" si="455"/>
        <v>3,36003473111615-27,0068696379739i</v>
      </c>
      <c r="AQ504" s="32">
        <f t="shared" si="456"/>
        <v>28.6961938397766</v>
      </c>
      <c r="AR504" s="31">
        <f t="shared" si="457"/>
        <v>-82.9080405282415</v>
      </c>
      <c r="AS504" t="str">
        <f t="shared" si="433"/>
        <v>-0,000100699300699301</v>
      </c>
      <c r="AT504" t="str">
        <f t="shared" si="434"/>
        <v>1,02278168096144i</v>
      </c>
      <c r="AU504">
        <f t="shared" si="458"/>
        <v>1.02278168096144</v>
      </c>
      <c r="AV504">
        <f t="shared" si="459"/>
        <v>1.5707963267949</v>
      </c>
      <c r="AW504" t="str">
        <f t="shared" si="435"/>
        <v>1+52,3645460977653i</v>
      </c>
      <c r="AX504">
        <f t="shared" si="460"/>
        <v>52.3740936725877</v>
      </c>
      <c r="AY504">
        <f t="shared" si="461"/>
        <v>1.5517017573321</v>
      </c>
      <c r="AZ504" t="str">
        <f t="shared" si="436"/>
        <v>1+2503,47095918465i</v>
      </c>
      <c r="BA504">
        <f t="shared" si="462"/>
        <v>2503.47115890735</v>
      </c>
      <c r="BB504">
        <f t="shared" si="463"/>
        <v>1.57039688139964</v>
      </c>
      <c r="BC504" s="30" t="str">
        <f t="shared" si="464"/>
        <v>-0,0000879777070544943+0,00470536899729958i</v>
      </c>
      <c r="BD504" s="32">
        <f t="shared" si="465"/>
        <v>-46.5466082854569</v>
      </c>
      <c r="BE504" s="31">
        <f t="shared" si="466"/>
        <v>91.0711517065431</v>
      </c>
      <c r="BF504" s="30" t="str">
        <f t="shared" si="467"/>
        <v>-0,00248382269860771-0,0101032858613862i</v>
      </c>
      <c r="BG504" s="68">
        <f t="shared" si="468"/>
        <v>-39.6558910442597</v>
      </c>
      <c r="BH504" s="31">
        <f t="shared" si="469"/>
        <v>-103.811860254544</v>
      </c>
      <c r="BI504" s="30" t="str">
        <f t="shared" si="476"/>
        <v>0,126781678957367+0,0181862057191123i</v>
      </c>
      <c r="BJ504" s="68">
        <f t="shared" si="470"/>
        <v>-17.8504144456804</v>
      </c>
      <c r="BK504" s="31">
        <f t="shared" si="477"/>
        <v>8.16311117830162</v>
      </c>
      <c r="BL504" s="32">
        <f t="shared" si="471"/>
        <v>-39.6558910442597</v>
      </c>
      <c r="BM504" s="31">
        <f t="shared" si="472"/>
        <v>-103.811860254544</v>
      </c>
      <c r="BO504">
        <f t="shared" si="473"/>
        <v>0</v>
      </c>
      <c r="BP504">
        <f t="shared" si="474"/>
        <v>0</v>
      </c>
    </row>
    <row r="505" spans="14:68">
      <c r="N505" s="7">
        <v>87</v>
      </c>
      <c r="O505" s="18">
        <f t="shared" si="475"/>
        <v>741310.241300918</v>
      </c>
      <c r="P505" s="86" t="str">
        <f t="shared" si="425"/>
        <v>75</v>
      </c>
      <c r="Q505" s="4" t="str">
        <f t="shared" si="426"/>
        <v>1+7607,72303979934i</v>
      </c>
      <c r="R505" s="4">
        <f t="shared" si="437"/>
        <v>7607.72310552203</v>
      </c>
      <c r="S505" s="4">
        <f t="shared" si="438"/>
        <v>1.57066488142169</v>
      </c>
      <c r="T505" s="4" t="str">
        <f t="shared" si="427"/>
        <v>1+73,0341411820737i</v>
      </c>
      <c r="U505" s="4">
        <f t="shared" si="439"/>
        <v>73.0409869744589</v>
      </c>
      <c r="V505" s="4">
        <f t="shared" si="440"/>
        <v>1.55710495590329</v>
      </c>
      <c r="W505" t="str">
        <f t="shared" si="428"/>
        <v>1-38,3103195932753i</v>
      </c>
      <c r="X505" s="4">
        <f t="shared" si="441"/>
        <v>38.3233686846406</v>
      </c>
      <c r="Y505" s="4">
        <f t="shared" si="442"/>
        <v>-1.54469962523522</v>
      </c>
      <c r="Z505" t="str">
        <f t="shared" si="429"/>
        <v>-3,48604794985818+12,0218500563526i</v>
      </c>
      <c r="AA505" s="4">
        <f t="shared" si="443"/>
        <v>12.5170846879829</v>
      </c>
      <c r="AB505" s="4">
        <f t="shared" si="444"/>
        <v>1.85303160722612</v>
      </c>
      <c r="AC505" s="67" t="str">
        <f t="shared" si="445"/>
        <v>-2,12492550856221+0,587400753370051i</v>
      </c>
      <c r="AD505" s="68">
        <f t="shared" si="446"/>
        <v>6.86667371318356</v>
      </c>
      <c r="AE505" s="31">
        <f t="shared" si="447"/>
        <v>164.547413957466</v>
      </c>
      <c r="AF505" s="32" t="str">
        <f t="shared" si="448"/>
        <v>249,914648392112</v>
      </c>
      <c r="AG505" s="32" t="str">
        <f t="shared" si="430"/>
        <v>1+4890,67909701386i</v>
      </c>
      <c r="AH505" s="32">
        <f t="shared" si="449"/>
        <v>4890.67919924915</v>
      </c>
      <c r="AI505" s="32">
        <f t="shared" si="450"/>
        <v>1.57059185621602</v>
      </c>
      <c r="AJ505" s="32" t="str">
        <f t="shared" si="431"/>
        <v>1+73,0341411820737i</v>
      </c>
      <c r="AK505" s="32">
        <f t="shared" si="451"/>
        <v>73.0409869744589</v>
      </c>
      <c r="AL505" s="32">
        <f t="shared" si="452"/>
        <v>1.55710495590329</v>
      </c>
      <c r="AM505" s="32" t="str">
        <f t="shared" si="432"/>
        <v>1-7,39086740915398i</v>
      </c>
      <c r="AN505" s="32">
        <f t="shared" si="453"/>
        <v>7.45821165291617</v>
      </c>
      <c r="AO505" s="32">
        <f t="shared" si="454"/>
        <v>-1.43631090218583</v>
      </c>
      <c r="AP505" s="30" t="str">
        <f t="shared" si="455"/>
        <v>3,36003424531467-27,6335645447953i</v>
      </c>
      <c r="AQ505" s="32">
        <f t="shared" si="456"/>
        <v>28.8924774553571</v>
      </c>
      <c r="AR505" s="31">
        <f t="shared" si="457"/>
        <v>-83.0672952305083</v>
      </c>
      <c r="AS505" t="str">
        <f t="shared" si="433"/>
        <v>-0,000100699300699301</v>
      </c>
      <c r="AT505" t="str">
        <f t="shared" si="434"/>
        <v>1,04660532676097i</v>
      </c>
      <c r="AU505">
        <f t="shared" si="458"/>
        <v>1.04660532676097</v>
      </c>
      <c r="AV505">
        <f t="shared" si="459"/>
        <v>1.5707963267949</v>
      </c>
      <c r="AW505" t="str">
        <f t="shared" si="435"/>
        <v>1+53,5842730658056i</v>
      </c>
      <c r="AX505">
        <f t="shared" si="460"/>
        <v>53.5936033495679</v>
      </c>
      <c r="AY505">
        <f t="shared" si="461"/>
        <v>1.5521363007355</v>
      </c>
      <c r="AZ505" t="str">
        <f t="shared" si="436"/>
        <v>1+2561,78428891202i</v>
      </c>
      <c r="BA505">
        <f t="shared" si="462"/>
        <v>2561.78448408848</v>
      </c>
      <c r="BB505">
        <f t="shared" si="463"/>
        <v>1.57040597388597</v>
      </c>
      <c r="BC505" s="30" t="str">
        <f t="shared" si="464"/>
        <v>-0,0000840194365484306+0,00459833559249742i</v>
      </c>
      <c r="BD505" s="32">
        <f t="shared" si="465"/>
        <v>-46.7465370577809</v>
      </c>
      <c r="BE505" s="31">
        <f t="shared" si="466"/>
        <v>91.0467751646054</v>
      </c>
      <c r="BF505" s="30" t="str">
        <f t="shared" si="467"/>
        <v>-0,00252253074734452-0,00982047367775357i</v>
      </c>
      <c r="BG505" s="68">
        <f t="shared" si="468"/>
        <v>-39.8798633445973</v>
      </c>
      <c r="BH505" s="31">
        <f t="shared" si="469"/>
        <v>-104.405810877929</v>
      </c>
      <c r="BI505" s="30" t="str">
        <f t="shared" si="476"/>
        <v>0,126786095209832+0,017772321585119i</v>
      </c>
      <c r="BJ505" s="68">
        <f t="shared" si="470"/>
        <v>-17.8540596024238</v>
      </c>
      <c r="BK505" s="31">
        <f t="shared" si="477"/>
        <v>7.97947993409702</v>
      </c>
      <c r="BL505" s="32">
        <f t="shared" si="471"/>
        <v>-39.8798633445973</v>
      </c>
      <c r="BM505" s="31">
        <f t="shared" si="472"/>
        <v>-104.405810877929</v>
      </c>
      <c r="BO505">
        <f t="shared" si="473"/>
        <v>0</v>
      </c>
      <c r="BP505">
        <f t="shared" si="474"/>
        <v>0</v>
      </c>
    </row>
    <row r="506" spans="14:68">
      <c r="N506" s="7">
        <v>88</v>
      </c>
      <c r="O506" s="18">
        <f t="shared" si="475"/>
        <v>758577.575029184</v>
      </c>
      <c r="P506" s="86" t="str">
        <f t="shared" si="425"/>
        <v>75</v>
      </c>
      <c r="Q506" s="4" t="str">
        <f t="shared" si="426"/>
        <v>1+7784,9296738395i</v>
      </c>
      <c r="R506" s="4">
        <f t="shared" si="437"/>
        <v>7784.92973806615</v>
      </c>
      <c r="S506" s="4">
        <f t="shared" si="438"/>
        <v>1.57066787348364</v>
      </c>
      <c r="T506" s="4" t="str">
        <f t="shared" si="427"/>
        <v>1+74,7353248688593i</v>
      </c>
      <c r="U506" s="4">
        <f t="shared" si="439"/>
        <v>74.7420148460954</v>
      </c>
      <c r="V506" s="4">
        <f t="shared" si="440"/>
        <v>1.55741657192758</v>
      </c>
      <c r="W506" t="str">
        <f t="shared" si="428"/>
        <v>1-39,2026815718347i</v>
      </c>
      <c r="X506" s="4">
        <f t="shared" si="441"/>
        <v>39.2154337273307</v>
      </c>
      <c r="Y506" s="4">
        <f t="shared" si="442"/>
        <v>-1.54529339815015</v>
      </c>
      <c r="Z506" t="str">
        <f t="shared" si="429"/>
        <v>-3,69746887622172+12,3018749169156i</v>
      </c>
      <c r="AA506" s="4">
        <f t="shared" si="443"/>
        <v>12.845520719771</v>
      </c>
      <c r="AB506" s="4">
        <f t="shared" si="444"/>
        <v>1.86276809711466</v>
      </c>
      <c r="AC506" s="67" t="str">
        <f t="shared" si="445"/>
        <v>-2,11280807272882+0,606906976871524i</v>
      </c>
      <c r="AD506" s="68">
        <f t="shared" si="446"/>
        <v>6.84153351948551</v>
      </c>
      <c r="AE506" s="31">
        <f t="shared" si="447"/>
        <v>163.973216348064</v>
      </c>
      <c r="AF506" s="32" t="str">
        <f t="shared" si="448"/>
        <v>249,914648392112</v>
      </c>
      <c r="AG506" s="32" t="str">
        <f t="shared" si="430"/>
        <v>1+5004,59764746825i</v>
      </c>
      <c r="AH506" s="32">
        <f t="shared" si="449"/>
        <v>5004.59774737638</v>
      </c>
      <c r="AI506" s="32">
        <f t="shared" si="450"/>
        <v>1.5705965105345</v>
      </c>
      <c r="AJ506" s="32" t="str">
        <f t="shared" si="431"/>
        <v>1+74,7353248688593i</v>
      </c>
      <c r="AK506" s="32">
        <f t="shared" si="451"/>
        <v>74.7420148460954</v>
      </c>
      <c r="AL506" s="32">
        <f t="shared" si="452"/>
        <v>1.55741657192758</v>
      </c>
      <c r="AM506" s="32" t="str">
        <f t="shared" si="432"/>
        <v>1-7,56302282666348i</v>
      </c>
      <c r="AN506" s="32">
        <f t="shared" si="453"/>
        <v>7.62884750644767</v>
      </c>
      <c r="AO506" s="32">
        <f t="shared" si="454"/>
        <v>-1.43933661510026</v>
      </c>
      <c r="AP506" s="30" t="str">
        <f t="shared" si="455"/>
        <v>3,36003378137784-28,2749111333029i</v>
      </c>
      <c r="AQ506" s="32">
        <f t="shared" si="456"/>
        <v>29.0889254253068</v>
      </c>
      <c r="AR506" s="31">
        <f t="shared" si="457"/>
        <v>-83.2230682003089</v>
      </c>
      <c r="AS506" t="str">
        <f t="shared" si="433"/>
        <v>-0,000100699300699301</v>
      </c>
      <c r="AT506" t="str">
        <f t="shared" si="434"/>
        <v>1,07098389655821i</v>
      </c>
      <c r="AU506">
        <f t="shared" si="458"/>
        <v>1.07098389655821</v>
      </c>
      <c r="AV506">
        <f t="shared" si="459"/>
        <v>1.5707963267949</v>
      </c>
      <c r="AW506" t="str">
        <f t="shared" si="435"/>
        <v>1+54,8324111246972i</v>
      </c>
      <c r="AX506">
        <f t="shared" si="460"/>
        <v>54.8415290609937</v>
      </c>
      <c r="AY506">
        <f t="shared" si="461"/>
        <v>1.55256095953381</v>
      </c>
      <c r="AZ506" t="str">
        <f t="shared" si="436"/>
        <v>1+2621,45591057861i</v>
      </c>
      <c r="BA506">
        <f t="shared" si="462"/>
        <v>2621.45610131231</v>
      </c>
      <c r="BB506">
        <f t="shared" si="463"/>
        <v>1.57041485940212</v>
      </c>
      <c r="BC506" s="30" t="str">
        <f t="shared" si="464"/>
        <v>-0,0000802391963022391+0,00449373363714547i</v>
      </c>
      <c r="BD506" s="32">
        <f t="shared" si="465"/>
        <v>-46.9464690347868</v>
      </c>
      <c r="BE506" s="31">
        <f t="shared" si="466"/>
        <v>91.0229531103031</v>
      </c>
      <c r="BF506" s="30" t="str">
        <f t="shared" si="467"/>
        <v>-0,00255774827488919-0,00954309443330838i</v>
      </c>
      <c r="BG506" s="68">
        <f t="shared" si="468"/>
        <v>-40.1049355153013</v>
      </c>
      <c r="BH506" s="31">
        <f t="shared" si="469"/>
        <v>-105.003830541633</v>
      </c>
      <c r="BI506" s="30" t="str">
        <f t="shared" si="476"/>
        <v>0,126790312836856+0,0173678529701761i</v>
      </c>
      <c r="BJ506" s="68">
        <f t="shared" si="470"/>
        <v>-17.8575436094801</v>
      </c>
      <c r="BK506" s="31">
        <f t="shared" si="477"/>
        <v>7.79988490999416</v>
      </c>
      <c r="BL506" s="32">
        <f t="shared" si="471"/>
        <v>-40.1049355153013</v>
      </c>
      <c r="BM506" s="31">
        <f t="shared" si="472"/>
        <v>-105.003830541633</v>
      </c>
      <c r="BO506">
        <f t="shared" si="473"/>
        <v>0</v>
      </c>
      <c r="BP506">
        <f t="shared" si="474"/>
        <v>0</v>
      </c>
    </row>
    <row r="507" spans="14:68">
      <c r="N507" s="7">
        <v>89</v>
      </c>
      <c r="O507" s="18">
        <f t="shared" si="475"/>
        <v>776247.116628692</v>
      </c>
      <c r="P507" s="86" t="str">
        <f t="shared" si="425"/>
        <v>75</v>
      </c>
      <c r="Q507" s="4" t="str">
        <f t="shared" si="426"/>
        <v>1+7966,26398063847i</v>
      </c>
      <c r="R507" s="4">
        <f t="shared" si="437"/>
        <v>7966.26404340315</v>
      </c>
      <c r="S507" s="4">
        <f t="shared" si="438"/>
        <v>1.57067079743795</v>
      </c>
      <c r="T507" s="4" t="str">
        <f t="shared" si="427"/>
        <v>1+76,4761342141293i</v>
      </c>
      <c r="U507" s="4">
        <f t="shared" si="439"/>
        <v>76.4826719220603</v>
      </c>
      <c r="V507" s="4">
        <f t="shared" si="440"/>
        <v>1.5577210972162</v>
      </c>
      <c r="W507" t="str">
        <f t="shared" si="428"/>
        <v>1-40,1158293310723i</v>
      </c>
      <c r="X507" s="4">
        <f t="shared" si="441"/>
        <v>40.1282913032653</v>
      </c>
      <c r="Y507" s="4">
        <f t="shared" si="442"/>
        <v>-1.54587367252437</v>
      </c>
      <c r="Z507" t="str">
        <f t="shared" si="429"/>
        <v>-3,91885376387234+12,5884223943942i</v>
      </c>
      <c r="AA507" s="4">
        <f t="shared" si="443"/>
        <v>13.1843010130345</v>
      </c>
      <c r="AB507" s="4">
        <f t="shared" si="444"/>
        <v>1.87259322307088</v>
      </c>
      <c r="AC507" s="67" t="str">
        <f t="shared" si="445"/>
        <v>-2,10020668871099+0,626325866793976i</v>
      </c>
      <c r="AD507" s="68">
        <f t="shared" si="446"/>
        <v>6.81526350989898</v>
      </c>
      <c r="AE507" s="31">
        <f t="shared" si="447"/>
        <v>163.394311308538</v>
      </c>
      <c r="AF507" s="32" t="str">
        <f t="shared" si="448"/>
        <v>249,914648392112</v>
      </c>
      <c r="AG507" s="32" t="str">
        <f t="shared" si="430"/>
        <v>1+5121,16970183901i</v>
      </c>
      <c r="AH507" s="32">
        <f t="shared" si="449"/>
        <v>5121.16979947295</v>
      </c>
      <c r="AI507" s="32">
        <f t="shared" si="450"/>
        <v>1.57060105890777</v>
      </c>
      <c r="AJ507" s="32" t="str">
        <f t="shared" si="431"/>
        <v>1+76,4761342141293i</v>
      </c>
      <c r="AK507" s="32">
        <f t="shared" si="451"/>
        <v>76.4826719220603</v>
      </c>
      <c r="AL507" s="32">
        <f t="shared" si="452"/>
        <v>1.5577210972162</v>
      </c>
      <c r="AM507" s="32" t="str">
        <f t="shared" si="432"/>
        <v>1-7,73918825898413i</v>
      </c>
      <c r="AN507" s="32">
        <f t="shared" si="453"/>
        <v>7.80352708126254</v>
      </c>
      <c r="AO507" s="32">
        <f t="shared" si="454"/>
        <v>-1.44229579557023</v>
      </c>
      <c r="AP507" s="30" t="str">
        <f t="shared" si="455"/>
        <v>3,36003333832162-28,931249453948i</v>
      </c>
      <c r="AQ507" s="32">
        <f t="shared" si="456"/>
        <v>29.2855306042484</v>
      </c>
      <c r="AR507" s="31">
        <f t="shared" si="457"/>
        <v>-83.375429340855</v>
      </c>
      <c r="AS507" t="str">
        <f t="shared" si="433"/>
        <v>-0,000100699300699301</v>
      </c>
      <c r="AT507" t="str">
        <f t="shared" si="434"/>
        <v>1,09593031619355i</v>
      </c>
      <c r="AU507">
        <f t="shared" si="458"/>
        <v>1.09593031619355</v>
      </c>
      <c r="AV507">
        <f t="shared" si="459"/>
        <v>1.5707963267949</v>
      </c>
      <c r="AW507" t="str">
        <f t="shared" si="435"/>
        <v>1+56,10962205376i</v>
      </c>
      <c r="AX507">
        <f t="shared" si="460"/>
        <v>56.1185324738254</v>
      </c>
      <c r="AY507">
        <f t="shared" si="461"/>
        <v>1.55297595827374</v>
      </c>
      <c r="AZ507" t="str">
        <f t="shared" si="436"/>
        <v>1+2682,51746286805i</v>
      </c>
      <c r="BA507">
        <f t="shared" si="462"/>
        <v>2682.51764926012</v>
      </c>
      <c r="BB507">
        <f t="shared" si="463"/>
        <v>1.57042354265928</v>
      </c>
      <c r="BC507" s="30" t="str">
        <f t="shared" si="464"/>
        <v>-0,0000766289842986253+0,00439150811339912i</v>
      </c>
      <c r="BD507" s="32">
        <f t="shared" si="465"/>
        <v>-47.1464040723364</v>
      </c>
      <c r="BE507" s="31">
        <f t="shared" si="466"/>
        <v>90.9996729479897</v>
      </c>
      <c r="BF507" s="30" t="str">
        <f t="shared" si="467"/>
        <v>-0,00258957842028438-0,00927106942830179i</v>
      </c>
      <c r="BG507" s="68">
        <f t="shared" si="468"/>
        <v>-40.3311405624374</v>
      </c>
      <c r="BH507" s="31">
        <f t="shared" si="469"/>
        <v>-105.606015743473</v>
      </c>
      <c r="BI507" s="30" t="str">
        <f t="shared" si="476"/>
        <v>0,126794340765861+0,0169725859266771i</v>
      </c>
      <c r="BJ507" s="68">
        <f t="shared" si="470"/>
        <v>-17.860873468088</v>
      </c>
      <c r="BK507" s="31">
        <f t="shared" si="477"/>
        <v>7.6242436071347</v>
      </c>
      <c r="BL507" s="32">
        <f t="shared" si="471"/>
        <v>-40.3311405624374</v>
      </c>
      <c r="BM507" s="31">
        <f t="shared" si="472"/>
        <v>-105.606015743473</v>
      </c>
      <c r="BO507">
        <f t="shared" si="473"/>
        <v>0</v>
      </c>
      <c r="BP507">
        <f t="shared" si="474"/>
        <v>0</v>
      </c>
    </row>
    <row r="508" spans="14:68">
      <c r="N508" s="7">
        <v>90</v>
      </c>
      <c r="O508" s="18">
        <f t="shared" si="475"/>
        <v>794328.234724283</v>
      </c>
      <c r="P508" s="86" t="str">
        <f t="shared" si="425"/>
        <v>75</v>
      </c>
      <c r="Q508" s="4" t="str">
        <f t="shared" si="426"/>
        <v>1+8151,82210604593i</v>
      </c>
      <c r="R508" s="4">
        <f t="shared" si="437"/>
        <v>8151.82216738191</v>
      </c>
      <c r="S508" s="4">
        <f t="shared" si="438"/>
        <v>1.57067365483494</v>
      </c>
      <c r="T508" s="4" t="str">
        <f t="shared" si="427"/>
        <v>1+78,257492218041i</v>
      </c>
      <c r="U508" s="4">
        <f t="shared" si="439"/>
        <v>78.2638811218607</v>
      </c>
      <c r="V508" s="4">
        <f t="shared" si="440"/>
        <v>1.55801869300643</v>
      </c>
      <c r="W508" t="str">
        <f t="shared" si="428"/>
        <v>1-41,050247034017i</v>
      </c>
      <c r="X508" s="4">
        <f t="shared" si="441"/>
        <v>41.062425422201</v>
      </c>
      <c r="Y508" s="4">
        <f t="shared" si="442"/>
        <v>-1.54644075446301</v>
      </c>
      <c r="Z508" t="str">
        <f t="shared" si="429"/>
        <v>-4,15067219983836+12,8816444200537i</v>
      </c>
      <c r="AA508" s="4">
        <f t="shared" si="443"/>
        <v>13.5338406476215</v>
      </c>
      <c r="AB508" s="4">
        <f t="shared" si="444"/>
        <v>1.88250815446338</v>
      </c>
      <c r="AC508" s="67" t="str">
        <f t="shared" si="445"/>
        <v>-2,08711483876634+0,645645928551485i</v>
      </c>
      <c r="AD508" s="68">
        <f t="shared" si="446"/>
        <v>6.78782973617123</v>
      </c>
      <c r="AE508" s="31">
        <f t="shared" si="447"/>
        <v>162.810623449857</v>
      </c>
      <c r="AF508" s="32" t="str">
        <f t="shared" si="448"/>
        <v>249,914648392112</v>
      </c>
      <c r="AG508" s="32" t="str">
        <f t="shared" si="430"/>
        <v>1+5240,45706817238i</v>
      </c>
      <c r="AH508" s="32">
        <f t="shared" si="449"/>
        <v>5240.4571635839</v>
      </c>
      <c r="AI508" s="32">
        <f t="shared" si="450"/>
        <v>1.57060550374743</v>
      </c>
      <c r="AJ508" s="32" t="str">
        <f t="shared" si="431"/>
        <v>1+78,257492218041i</v>
      </c>
      <c r="AK508" s="32">
        <f t="shared" si="451"/>
        <v>78.2638811218607</v>
      </c>
      <c r="AL508" s="32">
        <f t="shared" si="452"/>
        <v>1.55801869300643</v>
      </c>
      <c r="AM508" s="32" t="str">
        <f t="shared" si="432"/>
        <v>1-7,91945711135995i</v>
      </c>
      <c r="AN508" s="32">
        <f t="shared" si="453"/>
        <v>7.98234307322541</v>
      </c>
      <c r="AO508" s="32">
        <f t="shared" si="454"/>
        <v>-1.44518980517998</v>
      </c>
      <c r="AP508" s="30" t="str">
        <f t="shared" si="455"/>
        <v>3,3600329152062-29,6029275059961i</v>
      </c>
      <c r="AQ508" s="32">
        <f t="shared" si="456"/>
        <v>29.4822861467912</v>
      </c>
      <c r="AR508" s="31">
        <f t="shared" si="457"/>
        <v>-83.5244475651356</v>
      </c>
      <c r="AS508" t="str">
        <f t="shared" si="433"/>
        <v>-0,000100699300699301</v>
      </c>
      <c r="AT508" t="str">
        <f t="shared" si="434"/>
        <v>1,12145781258889i</v>
      </c>
      <c r="AU508">
        <f t="shared" si="458"/>
        <v>1.12145781258889</v>
      </c>
      <c r="AV508">
        <f t="shared" si="459"/>
        <v>1.5707963267949</v>
      </c>
      <c r="AW508" t="str">
        <f t="shared" si="435"/>
        <v>1+57,4165830471343i</v>
      </c>
      <c r="AX508">
        <f t="shared" si="460"/>
        <v>57.4252906723899</v>
      </c>
      <c r="AY508">
        <f t="shared" si="461"/>
        <v>1.55338151642101</v>
      </c>
      <c r="AZ508" t="str">
        <f t="shared" si="436"/>
        <v>1+2745,00132142363i</v>
      </c>
      <c r="BA508">
        <f t="shared" si="462"/>
        <v>2745.0015035729</v>
      </c>
      <c r="BB508">
        <f t="shared" si="463"/>
        <v>1.57043202826143</v>
      </c>
      <c r="BC508" s="30" t="str">
        <f t="shared" si="464"/>
        <v>-0,0000731811577327291+0,00429160523385953i</v>
      </c>
      <c r="BD508" s="32">
        <f t="shared" si="465"/>
        <v>-47.3463420327699</v>
      </c>
      <c r="BE508" s="31">
        <f t="shared" si="466"/>
        <v>90.976922366994</v>
      </c>
      <c r="BF508" s="30" t="str">
        <f t="shared" si="467"/>
        <v>-0,00261811996596957-0,00900432208225234i</v>
      </c>
      <c r="BG508" s="68">
        <f t="shared" si="468"/>
        <v>-40.5585122965986</v>
      </c>
      <c r="BH508" s="31">
        <f t="shared" si="469"/>
        <v>-106.212454183149</v>
      </c>
      <c r="BI508" s="30" t="str">
        <f t="shared" si="476"/>
        <v>0,126798187523542+0,0165863113520061i</v>
      </c>
      <c r="BJ508" s="68">
        <f t="shared" si="470"/>
        <v>-17.8640558859787</v>
      </c>
      <c r="BK508" s="31">
        <f t="shared" si="477"/>
        <v>7.45247480185845</v>
      </c>
      <c r="BL508" s="32">
        <f t="shared" si="471"/>
        <v>-40.5585122965986</v>
      </c>
      <c r="BM508" s="31">
        <f t="shared" si="472"/>
        <v>-106.212454183149</v>
      </c>
      <c r="BO508">
        <f t="shared" si="473"/>
        <v>0</v>
      </c>
      <c r="BP508">
        <f t="shared" si="474"/>
        <v>0</v>
      </c>
    </row>
    <row r="509" spans="14:68">
      <c r="N509" s="7">
        <v>91</v>
      </c>
      <c r="O509" s="18">
        <f t="shared" si="475"/>
        <v>812830.516164101</v>
      </c>
      <c r="P509" s="86" t="str">
        <f t="shared" si="425"/>
        <v>75</v>
      </c>
      <c r="Q509" s="4" t="str">
        <f t="shared" si="426"/>
        <v>1+8341,70243543615i</v>
      </c>
      <c r="R509" s="4">
        <f t="shared" si="437"/>
        <v>8341.70249537595</v>
      </c>
      <c r="S509" s="4">
        <f t="shared" si="438"/>
        <v>1.57067644718963</v>
      </c>
      <c r="T509" s="4" t="str">
        <f t="shared" si="427"/>
        <v>1+80,0803433801871i</v>
      </c>
      <c r="U509" s="4">
        <f t="shared" si="439"/>
        <v>80.0865868662704</v>
      </c>
      <c r="V509" s="4">
        <f t="shared" si="440"/>
        <v>1.55830951687653</v>
      </c>
      <c r="W509" t="str">
        <f t="shared" si="428"/>
        <v>1-42,0064301213035i</v>
      </c>
      <c r="X509" s="4">
        <f t="shared" si="441"/>
        <v>42.0183313749601</v>
      </c>
      <c r="Y509" s="4">
        <f t="shared" si="442"/>
        <v>-1.54699494318069</v>
      </c>
      <c r="Z509" t="str">
        <f t="shared" si="429"/>
        <v>-4,39341590210288+13,1816964640934i</v>
      </c>
      <c r="AA509" s="4">
        <f t="shared" si="443"/>
        <v>13.8945753789147</v>
      </c>
      <c r="AB509" s="4">
        <f t="shared" si="444"/>
        <v>1.89251390879581</v>
      </c>
      <c r="AC509" s="67" t="str">
        <f t="shared" si="445"/>
        <v>-2,07352636089784+0,664854899029977i</v>
      </c>
      <c r="AD509" s="68">
        <f t="shared" si="446"/>
        <v>6.75919748948317</v>
      </c>
      <c r="AE509" s="31">
        <f t="shared" si="447"/>
        <v>162.222086271387</v>
      </c>
      <c r="AF509" s="32" t="str">
        <f t="shared" si="448"/>
        <v>249,914648392112</v>
      </c>
      <c r="AG509" s="32" t="str">
        <f t="shared" si="430"/>
        <v>1+5362,52299420895i</v>
      </c>
      <c r="AH509" s="32">
        <f t="shared" si="449"/>
        <v>5362.52308744864</v>
      </c>
      <c r="AI509" s="32">
        <f t="shared" si="450"/>
        <v>1.5706098474102</v>
      </c>
      <c r="AJ509" s="32" t="str">
        <f t="shared" si="431"/>
        <v>1+80,0803433801871i</v>
      </c>
      <c r="AK509" s="32">
        <f t="shared" si="451"/>
        <v>80.0865868662704</v>
      </c>
      <c r="AL509" s="32">
        <f t="shared" si="452"/>
        <v>1.55830951687653</v>
      </c>
      <c r="AM509" s="32" t="str">
        <f t="shared" si="432"/>
        <v>1-8,10392496472263i</v>
      </c>
      <c r="AN509" s="32">
        <f t="shared" si="453"/>
        <v>8.16539036628713</v>
      </c>
      <c r="AO509" s="32">
        <f t="shared" si="454"/>
        <v>-1.44801998436303</v>
      </c>
      <c r="AP509" s="30" t="str">
        <f t="shared" si="455"/>
        <v>3,36003251113412-30,2903014220415i</v>
      </c>
      <c r="AQ509" s="32">
        <f t="shared" si="456"/>
        <v>29.6791854958619</v>
      </c>
      <c r="AR509" s="31">
        <f t="shared" si="457"/>
        <v>-83.6701907807956</v>
      </c>
      <c r="AS509" t="str">
        <f t="shared" si="433"/>
        <v>-0,000100699300699301</v>
      </c>
      <c r="AT509" t="str">
        <f t="shared" si="434"/>
        <v>1,14757992076072i</v>
      </c>
      <c r="AU509">
        <f t="shared" si="458"/>
        <v>1.14757992076072</v>
      </c>
      <c r="AV509">
        <f t="shared" si="459"/>
        <v>1.5707963267949</v>
      </c>
      <c r="AW509" t="str">
        <f t="shared" si="435"/>
        <v>1+58,7539870728385i</v>
      </c>
      <c r="AX509">
        <f t="shared" si="460"/>
        <v>58.7624965173815</v>
      </c>
      <c r="AY509">
        <f t="shared" si="461"/>
        <v>1.55377784847396</v>
      </c>
      <c r="AZ509" t="str">
        <f t="shared" si="436"/>
        <v>1+2808,94061601421i</v>
      </c>
      <c r="BA509">
        <f t="shared" si="462"/>
        <v>2808.94079401726</v>
      </c>
      <c r="BB509">
        <f t="shared" si="463"/>
        <v>1.57044032070774</v>
      </c>
      <c r="BC509" s="30" t="str">
        <f t="shared" si="464"/>
        <v>-0,0000698884169273158+0,00419397241502493i</v>
      </c>
      <c r="BD509" s="32">
        <f t="shared" si="465"/>
        <v>-47.5462827846159</v>
      </c>
      <c r="BE509" s="31">
        <f t="shared" si="466"/>
        <v>90.9546893352497</v>
      </c>
      <c r="BF509" s="30" t="str">
        <f t="shared" si="467"/>
        <v>-0,0026434676317057-0,00874277801581214i</v>
      </c>
      <c r="BG509" s="68">
        <f t="shared" si="468"/>
        <v>-40.7870852951327</v>
      </c>
      <c r="BH509" s="31">
        <f t="shared" si="469"/>
        <v>-106.823224393364</v>
      </c>
      <c r="BI509" s="30" t="str">
        <f t="shared" si="476"/>
        <v>0,126801861253805+0,0162088248799211i</v>
      </c>
      <c r="BJ509" s="68">
        <f t="shared" si="470"/>
        <v>-17.867097288754</v>
      </c>
      <c r="BK509" s="31">
        <f t="shared" si="477"/>
        <v>7.2844985544541</v>
      </c>
      <c r="BL509" s="32">
        <f t="shared" si="471"/>
        <v>-40.7870852951327</v>
      </c>
      <c r="BM509" s="31">
        <f t="shared" si="472"/>
        <v>-106.823224393364</v>
      </c>
      <c r="BO509">
        <f t="shared" si="473"/>
        <v>0</v>
      </c>
      <c r="BP509">
        <f t="shared" si="474"/>
        <v>0</v>
      </c>
    </row>
    <row r="510" spans="14:68">
      <c r="N510" s="7">
        <v>92</v>
      </c>
      <c r="O510" s="18">
        <f t="shared" si="475"/>
        <v>831763.771102671</v>
      </c>
      <c r="P510" s="86" t="str">
        <f t="shared" si="425"/>
        <v>75</v>
      </c>
      <c r="Q510" s="4" t="str">
        <f t="shared" si="426"/>
        <v>1+8536,00564587309i</v>
      </c>
      <c r="R510" s="4">
        <f t="shared" si="437"/>
        <v>8536.0057044485</v>
      </c>
      <c r="S510" s="4">
        <f t="shared" si="438"/>
        <v>1.57067917598257</v>
      </c>
      <c r="T510" s="4" t="str">
        <f t="shared" si="427"/>
        <v>1+81,9456542003818i</v>
      </c>
      <c r="U510" s="4">
        <f t="shared" si="439"/>
        <v>81.951755578075</v>
      </c>
      <c r="V510" s="4">
        <f t="shared" si="440"/>
        <v>1.55859372282828</v>
      </c>
      <c r="W510" t="str">
        <f t="shared" si="428"/>
        <v>1-42,984885573861i</v>
      </c>
      <c r="X510" s="4">
        <f t="shared" si="441"/>
        <v>42.9965159960423</v>
      </c>
      <c r="Y510" s="4">
        <f t="shared" si="442"/>
        <v>-1.54753653115318</v>
      </c>
      <c r="Z510" t="str">
        <f t="shared" si="429"/>
        <v>-4,64759976260361+13,4887376180788i</v>
      </c>
      <c r="AA510" s="4">
        <f t="shared" si="443"/>
        <v>14.2669627490481</v>
      </c>
      <c r="AB510" s="4">
        <f t="shared" si="444"/>
        <v>1.90261134509153</v>
      </c>
      <c r="AC510" s="67" t="str">
        <f t="shared" si="445"/>
        <v>-2,05943550638916+0,683939747689522i</v>
      </c>
      <c r="AD510" s="68">
        <f t="shared" si="446"/>
        <v>6.72933134209478</v>
      </c>
      <c r="AE510" s="31">
        <f t="shared" si="447"/>
        <v>161.62864253591</v>
      </c>
      <c r="AF510" s="32" t="str">
        <f t="shared" si="448"/>
        <v>249,914648392112</v>
      </c>
      <c r="AG510" s="32" t="str">
        <f t="shared" si="430"/>
        <v>1+5487,43220091842i</v>
      </c>
      <c r="AH510" s="32">
        <f t="shared" si="449"/>
        <v>5487.43229203572</v>
      </c>
      <c r="AI510" s="32">
        <f t="shared" si="450"/>
        <v>1.57061409219913</v>
      </c>
      <c r="AJ510" s="32" t="str">
        <f t="shared" si="431"/>
        <v>1+81,9456542003818i</v>
      </c>
      <c r="AK510" s="32">
        <f t="shared" si="451"/>
        <v>81.951755578075</v>
      </c>
      <c r="AL510" s="32">
        <f t="shared" si="452"/>
        <v>1.55859372282828</v>
      </c>
      <c r="AM510" s="32" t="str">
        <f t="shared" si="432"/>
        <v>1-8,29268962636971i</v>
      </c>
      <c r="AN510" s="32">
        <f t="shared" si="453"/>
        <v>8.3527660831188</v>
      </c>
      <c r="AO510" s="32">
        <f t="shared" si="454"/>
        <v>-1.45078765226499</v>
      </c>
      <c r="AP510" s="30" t="str">
        <f t="shared" si="455"/>
        <v>3,36003212524827-30,9937356568337i</v>
      </c>
      <c r="AQ510" s="32">
        <f t="shared" si="456"/>
        <v>29.876222371408</v>
      </c>
      <c r="AR510" s="31">
        <f t="shared" si="457"/>
        <v>-83.8127258776152</v>
      </c>
      <c r="AS510" t="str">
        <f t="shared" si="433"/>
        <v>-0,000100699300699301</v>
      </c>
      <c r="AT510" t="str">
        <f t="shared" si="434"/>
        <v>1,17431049099654i</v>
      </c>
      <c r="AU510">
        <f t="shared" si="458"/>
        <v>1.17431049099654</v>
      </c>
      <c r="AV510">
        <f t="shared" si="459"/>
        <v>1.5707963267949</v>
      </c>
      <c r="AW510" t="str">
        <f t="shared" si="435"/>
        <v>1+60,1225432401895i</v>
      </c>
      <c r="AX510">
        <f t="shared" si="460"/>
        <v>60.1308590132259</v>
      </c>
      <c r="AY510">
        <f t="shared" si="461"/>
        <v>1.55416516407477</v>
      </c>
      <c r="AZ510" t="str">
        <f t="shared" si="436"/>
        <v>1+2874,36924810012i</v>
      </c>
      <c r="BA510">
        <f t="shared" si="462"/>
        <v>2874.36942205132</v>
      </c>
      <c r="BB510">
        <f t="shared" si="463"/>
        <v>1.57044842439498</v>
      </c>
      <c r="BC510" s="30" t="str">
        <f t="shared" si="464"/>
        <v>-0,0000667437899646722+0,00409855825124944i</v>
      </c>
      <c r="BD510" s="32">
        <f t="shared" si="465"/>
        <v>-47.7462262023127</v>
      </c>
      <c r="BE510" s="31">
        <f t="shared" si="466"/>
        <v>90.9329620930609</v>
      </c>
      <c r="BF510" s="30" t="str">
        <f t="shared" si="467"/>
        <v>-0,00266571236536612-0,00848636511849564i</v>
      </c>
      <c r="BG510" s="68">
        <f t="shared" si="468"/>
        <v>-41.016894860218</v>
      </c>
      <c r="BH510" s="31">
        <f t="shared" si="469"/>
        <v>-107.438395371029</v>
      </c>
      <c r="BI510" s="30" t="str">
        <f t="shared" si="476"/>
        <v>0,126805369734918+0,0158399267742998i</v>
      </c>
      <c r="BJ510" s="68">
        <f t="shared" si="470"/>
        <v>-17.8700038309047</v>
      </c>
      <c r="BK510" s="31">
        <f t="shared" si="477"/>
        <v>7.12023621544576</v>
      </c>
      <c r="BL510" s="32">
        <f t="shared" si="471"/>
        <v>-41.016894860218</v>
      </c>
      <c r="BM510" s="31">
        <f t="shared" si="472"/>
        <v>-107.438395371029</v>
      </c>
      <c r="BO510">
        <f t="shared" si="473"/>
        <v>0</v>
      </c>
      <c r="BP510">
        <f t="shared" si="474"/>
        <v>0</v>
      </c>
    </row>
    <row r="511" spans="14:68">
      <c r="N511" s="7">
        <v>93</v>
      </c>
      <c r="O511" s="18">
        <f t="shared" si="475"/>
        <v>851138.038202377</v>
      </c>
      <c r="P511" s="86" t="str">
        <f t="shared" si="425"/>
        <v>75</v>
      </c>
      <c r="Q511" s="4" t="str">
        <f t="shared" si="426"/>
        <v>1+8734,83475949088i</v>
      </c>
      <c r="R511" s="4">
        <f t="shared" si="437"/>
        <v>8734.83481673295</v>
      </c>
      <c r="S511" s="4">
        <f t="shared" si="438"/>
        <v>1.5706818426606</v>
      </c>
      <c r="T511" s="4" t="str">
        <f t="shared" si="427"/>
        <v>1+83,8544136911126i</v>
      </c>
      <c r="U511" s="4">
        <f t="shared" si="439"/>
        <v>83.8603761944832</v>
      </c>
      <c r="V511" s="4">
        <f t="shared" si="440"/>
        <v>1.55887146136767</v>
      </c>
      <c r="W511" t="str">
        <f t="shared" si="428"/>
        <v>1-43,986132181722i</v>
      </c>
      <c r="X511" s="4">
        <f t="shared" si="441"/>
        <v>43.9974979323588</v>
      </c>
      <c r="Y511" s="4">
        <f t="shared" si="442"/>
        <v>-1.54806580426599</v>
      </c>
      <c r="Z511" t="str">
        <f t="shared" si="429"/>
        <v>-4,91376293938771+13,8029306792938i</v>
      </c>
      <c r="AA511" s="4">
        <f t="shared" si="443"/>
        <v>14.6514832546705</v>
      </c>
      <c r="AB511" s="4">
        <f t="shared" si="444"/>
        <v>1.91280115731722</v>
      </c>
      <c r="AC511" s="67" t="str">
        <f t="shared" si="445"/>
        <v>-2,04483699907168+0,702886681620597i</v>
      </c>
      <c r="AD511" s="68">
        <f t="shared" si="446"/>
        <v>6.69819519331571</v>
      </c>
      <c r="AE511" s="31">
        <f t="shared" si="447"/>
        <v>161.030244642492</v>
      </c>
      <c r="AF511" s="32" t="str">
        <f t="shared" si="448"/>
        <v>249,914648392112</v>
      </c>
      <c r="AG511" s="32" t="str">
        <f t="shared" si="430"/>
        <v>1+5615,25091681557i</v>
      </c>
      <c r="AH511" s="32">
        <f t="shared" si="449"/>
        <v>5615.25100585879</v>
      </c>
      <c r="AI511" s="32">
        <f t="shared" si="450"/>
        <v>1.57061824036488</v>
      </c>
      <c r="AJ511" s="32" t="str">
        <f t="shared" si="431"/>
        <v>1+83,8544136911126i</v>
      </c>
      <c r="AK511" s="32">
        <f t="shared" si="451"/>
        <v>83.8603761944832</v>
      </c>
      <c r="AL511" s="32">
        <f t="shared" si="452"/>
        <v>1.55887146136767</v>
      </c>
      <c r="AM511" s="32" t="str">
        <f t="shared" si="432"/>
        <v>1-8,48585118182343i</v>
      </c>
      <c r="AN511" s="32">
        <f t="shared" si="453"/>
        <v>8.54456963691291</v>
      </c>
      <c r="AO511" s="32">
        <f t="shared" si="454"/>
        <v>-1.45349410664671</v>
      </c>
      <c r="AP511" s="30" t="str">
        <f t="shared" si="455"/>
        <v>3,36003175673015-31,7136031805154i</v>
      </c>
      <c r="AQ511" s="32">
        <f t="shared" si="456"/>
        <v>30.0733907594689</v>
      </c>
      <c r="AR511" s="31">
        <f t="shared" si="457"/>
        <v>-83.9521187174073</v>
      </c>
      <c r="AS511" t="str">
        <f t="shared" si="433"/>
        <v>-0,000100699300699301</v>
      </c>
      <c r="AT511" t="str">
        <f t="shared" si="434"/>
        <v>1,20166369619853i</v>
      </c>
      <c r="AU511">
        <f t="shared" si="458"/>
        <v>1.20166369619853</v>
      </c>
      <c r="AV511">
        <f t="shared" si="459"/>
        <v>1.5707963267949</v>
      </c>
      <c r="AW511" t="str">
        <f t="shared" si="435"/>
        <v>1+61,5229771757826i</v>
      </c>
      <c r="AX511">
        <f t="shared" si="460"/>
        <v>61.5311036840058</v>
      </c>
      <c r="AY511">
        <f t="shared" si="461"/>
        <v>1.55454366811821</v>
      </c>
      <c r="AZ511" t="str">
        <f t="shared" si="436"/>
        <v>1+2941,32190880815i</v>
      </c>
      <c r="BA511">
        <f t="shared" si="462"/>
        <v>2941.32207879974</v>
      </c>
      <c r="BB511">
        <f t="shared" si="463"/>
        <v>1.57045634361982</v>
      </c>
      <c r="BC511" s="30" t="str">
        <f t="shared" si="464"/>
        <v>-0,0000637406180035637+0,00400531248920345i</v>
      </c>
      <c r="BD511" s="32">
        <f t="shared" si="465"/>
        <v>-47.946172165944</v>
      </c>
      <c r="BE511" s="31">
        <f t="shared" si="466"/>
        <v>90.9117291470035</v>
      </c>
      <c r="BF511" s="30" t="str">
        <f t="shared" si="467"/>
        <v>-0,00268494163035236-0,00823501360224007i</v>
      </c>
      <c r="BG511" s="68">
        <f t="shared" si="468"/>
        <v>-41.2479769726283</v>
      </c>
      <c r="BH511" s="31">
        <f t="shared" si="469"/>
        <v>-108.058026210505</v>
      </c>
      <c r="BI511" s="30" t="str">
        <f t="shared" si="476"/>
        <v>0,126808720395875+0,0154794218251973i</v>
      </c>
      <c r="BJ511" s="68">
        <f t="shared" si="470"/>
        <v>-17.8727814064751</v>
      </c>
      <c r="BK511" s="31">
        <f t="shared" si="477"/>
        <v>6.95961042959615</v>
      </c>
      <c r="BL511" s="32">
        <f t="shared" si="471"/>
        <v>-41.2479769726283</v>
      </c>
      <c r="BM511" s="31">
        <f t="shared" si="472"/>
        <v>-108.058026210505</v>
      </c>
      <c r="BO511">
        <f t="shared" si="473"/>
        <v>0</v>
      </c>
      <c r="BP511">
        <f t="shared" si="474"/>
        <v>0</v>
      </c>
    </row>
    <row r="512" spans="14:68">
      <c r="N512" s="7">
        <v>94</v>
      </c>
      <c r="O512" s="18">
        <f t="shared" si="475"/>
        <v>870963.589956081</v>
      </c>
      <c r="P512" s="86" t="str">
        <f t="shared" si="425"/>
        <v>75</v>
      </c>
      <c r="Q512" s="4" t="str">
        <f t="shared" si="426"/>
        <v>1+8938,29519811736i</v>
      </c>
      <c r="R512" s="4">
        <f t="shared" si="437"/>
        <v>8938.29525405644</v>
      </c>
      <c r="S512" s="4">
        <f t="shared" si="438"/>
        <v>1.57068444863763</v>
      </c>
      <c r="T512" s="4" t="str">
        <f t="shared" si="427"/>
        <v>1+85,8076339019268i</v>
      </c>
      <c r="U512" s="4">
        <f t="shared" si="439"/>
        <v>85.8134606914737</v>
      </c>
      <c r="V512" s="4">
        <f t="shared" si="440"/>
        <v>1.55914287958387</v>
      </c>
      <c r="W512" t="str">
        <f t="shared" si="428"/>
        <v>1-45,010700819091i</v>
      </c>
      <c r="X512" s="4">
        <f t="shared" si="441"/>
        <v>45.0218079182269</v>
      </c>
      <c r="Y512" s="4">
        <f t="shared" si="442"/>
        <v>-1.54858304195995</v>
      </c>
      <c r="Z512" t="str">
        <f t="shared" si="429"/>
        <v>-5,19247000023827+14,1244422370584i</v>
      </c>
      <c r="AA512" s="4">
        <f t="shared" si="443"/>
        <v>15.048641573623</v>
      </c>
      <c r="AB512" s="4">
        <f t="shared" si="444"/>
        <v>1.92308386788214</v>
      </c>
      <c r="AC512" s="67" t="str">
        <f t="shared" si="445"/>
        <v>-2,02972609608566+0,721681154856513i</v>
      </c>
      <c r="AD512" s="68">
        <f t="shared" si="446"/>
        <v>6.66575231994691</v>
      </c>
      <c r="AE512" s="31">
        <f t="shared" si="447"/>
        <v>160.426854995084</v>
      </c>
      <c r="AF512" s="32" t="str">
        <f t="shared" si="448"/>
        <v>249,914648392112</v>
      </c>
      <c r="AG512" s="32" t="str">
        <f t="shared" si="430"/>
        <v>1+5746,04691307545i</v>
      </c>
      <c r="AH512" s="32">
        <f t="shared" si="449"/>
        <v>5746.04700009179</v>
      </c>
      <c r="AI512" s="32">
        <f t="shared" si="450"/>
        <v>1.57062229410685</v>
      </c>
      <c r="AJ512" s="32" t="str">
        <f t="shared" si="431"/>
        <v>1+85,8076339019268i</v>
      </c>
      <c r="AK512" s="32">
        <f t="shared" si="451"/>
        <v>85.8134606914737</v>
      </c>
      <c r="AL512" s="32">
        <f t="shared" si="452"/>
        <v>1.55914287958387</v>
      </c>
      <c r="AM512" s="32" t="str">
        <f t="shared" si="432"/>
        <v>1-8,68351204789727i</v>
      </c>
      <c r="AN512" s="32">
        <f t="shared" si="453"/>
        <v>8.74090278437972</v>
      </c>
      <c r="AO512" s="32">
        <f t="shared" si="454"/>
        <v>-1.45614062382487</v>
      </c>
      <c r="AP512" s="30" t="str">
        <f t="shared" si="455"/>
        <v>3,36003140479808-32,4502856763768i</v>
      </c>
      <c r="AQ512" s="32">
        <f t="shared" si="456"/>
        <v>30.270684901611</v>
      </c>
      <c r="AR512" s="31">
        <f t="shared" si="457"/>
        <v>-84.0884341261602</v>
      </c>
      <c r="AS512" t="str">
        <f t="shared" si="433"/>
        <v>-0,000100699300699301</v>
      </c>
      <c r="AT512" t="str">
        <f t="shared" si="434"/>
        <v>1,22965403939815i</v>
      </c>
      <c r="AU512">
        <f t="shared" si="458"/>
        <v>1.22965403939815</v>
      </c>
      <c r="AV512">
        <f t="shared" si="459"/>
        <v>1.5707963267949</v>
      </c>
      <c r="AW512" t="str">
        <f t="shared" si="435"/>
        <v>1+62,956031408227i</v>
      </c>
      <c r="AX512">
        <f t="shared" si="460"/>
        <v>62.9639729581422</v>
      </c>
      <c r="AY512">
        <f t="shared" si="461"/>
        <v>1.55491356085808</v>
      </c>
      <c r="AZ512" t="str">
        <f t="shared" si="436"/>
        <v>1+3009,83409732523i</v>
      </c>
      <c r="BA512">
        <f t="shared" si="462"/>
        <v>3009.83426344734</v>
      </c>
      <c r="BB512">
        <f t="shared" si="463"/>
        <v>1.57046408258114</v>
      </c>
      <c r="BC512" s="30" t="str">
        <f t="shared" si="464"/>
        <v>-0,0000608725412510266+0,00391418600283134i</v>
      </c>
      <c r="BD512" s="32">
        <f t="shared" si="465"/>
        <v>-48.1461205609844</v>
      </c>
      <c r="BE512" s="31">
        <f t="shared" si="466"/>
        <v>90.890979263958</v>
      </c>
      <c r="BF512" s="30" t="str">
        <f t="shared" si="467"/>
        <v>-0,00270123968933426-0,00798865604074908i</v>
      </c>
      <c r="BG512" s="68">
        <f t="shared" si="468"/>
        <v>-41.4803682410375</v>
      </c>
      <c r="BH512" s="31">
        <f t="shared" si="469"/>
        <v>-108.682165740958</v>
      </c>
      <c r="BI512" s="30" t="str">
        <f t="shared" si="476"/>
        <v>0,126811920332059+0,0151271192471772i</v>
      </c>
      <c r="BJ512" s="68">
        <f t="shared" si="470"/>
        <v>-17.8754356593734</v>
      </c>
      <c r="BK512" s="31">
        <f t="shared" si="477"/>
        <v>6.80254513779778</v>
      </c>
      <c r="BL512" s="32">
        <f t="shared" si="471"/>
        <v>-41.4803682410375</v>
      </c>
      <c r="BM512" s="31">
        <f t="shared" si="472"/>
        <v>-108.682165740958</v>
      </c>
      <c r="BO512">
        <f t="shared" si="473"/>
        <v>0</v>
      </c>
      <c r="BP512">
        <f t="shared" si="474"/>
        <v>0</v>
      </c>
    </row>
    <row r="513" spans="14:68">
      <c r="N513" s="7">
        <v>95</v>
      </c>
      <c r="O513" s="18">
        <f t="shared" si="475"/>
        <v>891250.938133747</v>
      </c>
      <c r="P513" s="86" t="str">
        <f t="shared" si="425"/>
        <v>75</v>
      </c>
      <c r="Q513" s="4" t="str">
        <f t="shared" si="426"/>
        <v>1+9146,49483917023i</v>
      </c>
      <c r="R513" s="4">
        <f t="shared" si="437"/>
        <v>9146.49489383598</v>
      </c>
      <c r="S513" s="4">
        <f t="shared" si="438"/>
        <v>1.57068699529539</v>
      </c>
      <c r="T513" s="4" t="str">
        <f t="shared" si="427"/>
        <v>1+87,8063504560343i</v>
      </c>
      <c r="U513" s="4">
        <f t="shared" si="439"/>
        <v>87.812044620359</v>
      </c>
      <c r="V513" s="4">
        <f t="shared" si="440"/>
        <v>1.55940812122635</v>
      </c>
      <c r="W513" t="str">
        <f t="shared" si="428"/>
        <v>1-46,0591347258215i</v>
      </c>
      <c r="X513" s="4">
        <f t="shared" si="441"/>
        <v>46.0699890567751</v>
      </c>
      <c r="Y513" s="4">
        <f t="shared" si="442"/>
        <v>-1.54908851737366</v>
      </c>
      <c r="Z513" t="str">
        <f t="shared" si="429"/>
        <v>-5,48431212019826+14,4534427610561i</v>
      </c>
      <c r="AA513" s="4">
        <f t="shared" si="443"/>
        <v>15.4589678529609</v>
      </c>
      <c r="AB513" s="4">
        <f t="shared" si="444"/>
        <v>1.93345982125267</v>
      </c>
      <c r="AC513" s="67" t="str">
        <f t="shared" si="445"/>
        <v>-2,01409864985788+0,740307882236603i</v>
      </c>
      <c r="AD513" s="68">
        <f t="shared" si="446"/>
        <v>6.63196543131764</v>
      </c>
      <c r="AE513" s="31">
        <f t="shared" si="447"/>
        <v>159.818446364599</v>
      </c>
      <c r="AF513" s="32" t="str">
        <f t="shared" si="448"/>
        <v>249,914648392112</v>
      </c>
      <c r="AG513" s="32" t="str">
        <f t="shared" si="430"/>
        <v>1+5879,88953946658i</v>
      </c>
      <c r="AH513" s="32">
        <f t="shared" si="449"/>
        <v>5879.88962450219</v>
      </c>
      <c r="AI513" s="32">
        <f t="shared" si="450"/>
        <v>1.5706262555744</v>
      </c>
      <c r="AJ513" s="32" t="str">
        <f t="shared" si="431"/>
        <v>1+87,8063504560343i</v>
      </c>
      <c r="AK513" s="32">
        <f t="shared" si="451"/>
        <v>87.812044620359</v>
      </c>
      <c r="AL513" s="32">
        <f t="shared" si="452"/>
        <v>1.55940812122635</v>
      </c>
      <c r="AM513" s="32" t="str">
        <f t="shared" si="432"/>
        <v>1-8,88577702699879i</v>
      </c>
      <c r="AN513" s="32">
        <f t="shared" si="453"/>
        <v>8.94186967996847</v>
      </c>
      <c r="AO513" s="32">
        <f t="shared" si="454"/>
        <v>-1.45872845864713</v>
      </c>
      <c r="AP513" s="30" t="str">
        <f t="shared" si="455"/>
        <v>3,36003106870556-33,2041737432285i</v>
      </c>
      <c r="AQ513" s="32">
        <f t="shared" si="456"/>
        <v>30.4680992847189</v>
      </c>
      <c r="AR513" s="31">
        <f t="shared" si="457"/>
        <v>-84.2217358882589</v>
      </c>
      <c r="AS513" t="str">
        <f t="shared" si="433"/>
        <v>-0,000100699300699301</v>
      </c>
      <c r="AT513" t="str">
        <f t="shared" si="434"/>
        <v>1,25829636144585i</v>
      </c>
      <c r="AU513">
        <f t="shared" si="458"/>
        <v>1.25829636144585</v>
      </c>
      <c r="AV513">
        <f t="shared" si="459"/>
        <v>1.5707963267949</v>
      </c>
      <c r="AW513" t="str">
        <f t="shared" si="435"/>
        <v>1+64,4224657618459i</v>
      </c>
      <c r="AX513">
        <f t="shared" si="460"/>
        <v>64.4302265620431</v>
      </c>
      <c r="AY513">
        <f t="shared" si="461"/>
        <v>1.55527503801129</v>
      </c>
      <c r="AZ513" t="str">
        <f t="shared" si="436"/>
        <v>1+3079,94213972059i</v>
      </c>
      <c r="BA513">
        <f t="shared" si="462"/>
        <v>3079.9423020613</v>
      </c>
      <c r="BB513">
        <f t="shared" si="463"/>
        <v>1.57047164538223</v>
      </c>
      <c r="BC513" s="30" t="str">
        <f t="shared" si="464"/>
        <v>-0,0000581334855600253+0,00382513076879974i</v>
      </c>
      <c r="BD513" s="32">
        <f t="shared" si="465"/>
        <v>-48.3460712780575</v>
      </c>
      <c r="BE513" s="31">
        <f t="shared" si="466"/>
        <v>90.8707014652723</v>
      </c>
      <c r="BF513" s="30" t="str">
        <f t="shared" si="467"/>
        <v>-0,00271468788395023-0,00774722739455137i</v>
      </c>
      <c r="BG513" s="68">
        <f t="shared" si="468"/>
        <v>-41.7141058467399</v>
      </c>
      <c r="BH513" s="31">
        <f t="shared" si="469"/>
        <v>-109.310852170129</v>
      </c>
      <c r="BI513" s="30" t="str">
        <f t="shared" si="476"/>
        <v>0,126814976320182+0,0147828325798633i</v>
      </c>
      <c r="BJ513" s="68">
        <f t="shared" si="470"/>
        <v>-17.8779719933387</v>
      </c>
      <c r="BK513" s="31">
        <f t="shared" si="477"/>
        <v>6.64896557701338</v>
      </c>
      <c r="BL513" s="32">
        <f t="shared" si="471"/>
        <v>-41.7141058467399</v>
      </c>
      <c r="BM513" s="31">
        <f t="shared" si="472"/>
        <v>-109.310852170129</v>
      </c>
      <c r="BO513">
        <f t="shared" si="473"/>
        <v>0</v>
      </c>
      <c r="BP513">
        <f t="shared" si="474"/>
        <v>0</v>
      </c>
    </row>
    <row r="514" spans="14:68">
      <c r="N514" s="7">
        <v>96</v>
      </c>
      <c r="O514" s="18">
        <f t="shared" si="475"/>
        <v>912010.839355911</v>
      </c>
      <c r="P514" s="86" t="str">
        <f t="shared" si="425"/>
        <v>75</v>
      </c>
      <c r="Q514" s="4" t="str">
        <f t="shared" si="426"/>
        <v>1+9359,54407285498i</v>
      </c>
      <c r="R514" s="4">
        <f t="shared" si="437"/>
        <v>9359.54412627638</v>
      </c>
      <c r="S514" s="4">
        <f t="shared" si="438"/>
        <v>1.57068948398413</v>
      </c>
      <c r="T514" s="4" t="str">
        <f t="shared" si="427"/>
        <v>1+89,8516230994079i</v>
      </c>
      <c r="U514" s="4">
        <f t="shared" si="439"/>
        <v>89.8571876568483</v>
      </c>
      <c r="V514" s="4">
        <f t="shared" si="440"/>
        <v>1.55966732678037</v>
      </c>
      <c r="W514" t="str">
        <f t="shared" si="428"/>
        <v>1-47,1319897954483i</v>
      </c>
      <c r="X514" s="4">
        <f t="shared" si="441"/>
        <v>47.1425971079049</v>
      </c>
      <c r="Y514" s="4">
        <f t="shared" si="442"/>
        <v>-1.54958249748306</v>
      </c>
      <c r="Z514" t="str">
        <f t="shared" si="429"/>
        <v>-5,78990833553206+14,7901066917197i</v>
      </c>
      <c r="AA514" s="4">
        <f t="shared" si="443"/>
        <v>15.8830190608182</v>
      </c>
      <c r="AB514" s="4">
        <f t="shared" si="444"/>
        <v>1.94392917772455</v>
      </c>
      <c r="AC514" s="67" t="str">
        <f t="shared" si="445"/>
        <v>-1,99795117097645+0,758750858101878i</v>
      </c>
      <c r="AD514" s="68">
        <f t="shared" si="446"/>
        <v>6.59679672901753</v>
      </c>
      <c r="AE514" s="31">
        <f t="shared" si="447"/>
        <v>159.205002242021</v>
      </c>
      <c r="AF514" s="32" t="str">
        <f t="shared" si="448"/>
        <v>249,914648392112</v>
      </c>
      <c r="AG514" s="32" t="str">
        <f t="shared" si="430"/>
        <v>1+6016,84976112106i</v>
      </c>
      <c r="AH514" s="32">
        <f t="shared" si="449"/>
        <v>6016.84984422102</v>
      </c>
      <c r="AI514" s="32">
        <f t="shared" si="450"/>
        <v>1.57063012686794</v>
      </c>
      <c r="AJ514" s="32" t="str">
        <f t="shared" si="431"/>
        <v>1+89,8516230994079i</v>
      </c>
      <c r="AK514" s="32">
        <f t="shared" si="451"/>
        <v>89.8571876568483</v>
      </c>
      <c r="AL514" s="32">
        <f t="shared" si="452"/>
        <v>1.55966732678037</v>
      </c>
      <c r="AM514" s="32" t="str">
        <f t="shared" si="432"/>
        <v>1-9,09275336269717i</v>
      </c>
      <c r="AN514" s="32">
        <f t="shared" si="453"/>
        <v>9.14757693134311</v>
      </c>
      <c r="AO514" s="32">
        <f t="shared" si="454"/>
        <v>-1.46125884449924</v>
      </c>
      <c r="AP514" s="30" t="str">
        <f t="shared" si="455"/>
        <v>3,36003074773968-33,9756671025029i</v>
      </c>
      <c r="AQ514" s="32">
        <f t="shared" si="456"/>
        <v>30.6656286311384</v>
      </c>
      <c r="AR514" s="31">
        <f t="shared" si="457"/>
        <v>-84.3520867426333</v>
      </c>
      <c r="AS514" t="str">
        <f t="shared" si="433"/>
        <v>-0,000100699300699301</v>
      </c>
      <c r="AT514" t="str">
        <f t="shared" si="434"/>
        <v>1,28760584887991i</v>
      </c>
      <c r="AU514">
        <f t="shared" si="458"/>
        <v>1.28760584887991</v>
      </c>
      <c r="AV514">
        <f t="shared" si="459"/>
        <v>1.5707963267949</v>
      </c>
      <c r="AW514" t="str">
        <f t="shared" si="435"/>
        <v>1+65,9230577595437i</v>
      </c>
      <c r="AX514">
        <f t="shared" si="460"/>
        <v>65.9306419229188</v>
      </c>
      <c r="AY514">
        <f t="shared" si="461"/>
        <v>1.55562829085974</v>
      </c>
      <c r="AZ514" t="str">
        <f t="shared" si="436"/>
        <v>1+3151,68320820627i</v>
      </c>
      <c r="BA514">
        <f t="shared" si="462"/>
        <v>3151.68336685165</v>
      </c>
      <c r="BB514">
        <f t="shared" si="463"/>
        <v>1.57047903603298</v>
      </c>
      <c r="BC514" s="30" t="str">
        <f t="shared" si="464"/>
        <v>-0,0000555176496253071+0,00373809984243098i</v>
      </c>
      <c r="BD514" s="32">
        <f t="shared" si="465"/>
        <v>-48.5460242127053</v>
      </c>
      <c r="BE514" s="31">
        <f t="shared" si="466"/>
        <v>90.8508850210513</v>
      </c>
      <c r="BF514" s="30" t="str">
        <f t="shared" si="467"/>
        <v>-0,00272536491003626-0,00751066502170486i</v>
      </c>
      <c r="BG514" s="68">
        <f t="shared" si="468"/>
        <v>-41.9492274836878</v>
      </c>
      <c r="BH514" s="31">
        <f t="shared" si="469"/>
        <v>-109.944112736928</v>
      </c>
      <c r="BI514" s="30" t="str">
        <f t="shared" si="476"/>
        <v>0,12681789483257+0,0144463795906718i</v>
      </c>
      <c r="BJ514" s="68">
        <f t="shared" si="470"/>
        <v>-17.8803955815669</v>
      </c>
      <c r="BK514" s="31">
        <f t="shared" si="477"/>
        <v>6.49879827841796</v>
      </c>
      <c r="BL514" s="32">
        <f t="shared" si="471"/>
        <v>-41.9492274836878</v>
      </c>
      <c r="BM514" s="31">
        <f t="shared" si="472"/>
        <v>-109.944112736928</v>
      </c>
      <c r="BO514">
        <f t="shared" si="473"/>
        <v>0</v>
      </c>
      <c r="BP514">
        <f t="shared" si="474"/>
        <v>0</v>
      </c>
    </row>
    <row r="515" spans="14:68">
      <c r="N515" s="7">
        <v>97</v>
      </c>
      <c r="O515" s="18">
        <f t="shared" si="475"/>
        <v>933254.300796992</v>
      </c>
      <c r="P515" s="86" t="str">
        <f t="shared" si="425"/>
        <v>75</v>
      </c>
      <c r="Q515" s="4" t="str">
        <f t="shared" si="426"/>
        <v>1+9577,55586069537i</v>
      </c>
      <c r="R515" s="4">
        <f t="shared" si="437"/>
        <v>9577.55591290075</v>
      </c>
      <c r="S515" s="4">
        <f t="shared" si="438"/>
        <v>1.57069191602341</v>
      </c>
      <c r="T515" s="4" t="str">
        <f t="shared" si="427"/>
        <v>1+91,9445362626756i</v>
      </c>
      <c r="U515" s="4">
        <f t="shared" si="439"/>
        <v>91.9499741629027</v>
      </c>
      <c r="V515" s="4">
        <f t="shared" si="440"/>
        <v>1.55992063354075</v>
      </c>
      <c r="W515" t="str">
        <f t="shared" si="428"/>
        <v>1-48,2298348699303i</v>
      </c>
      <c r="X515" s="4">
        <f t="shared" si="441"/>
        <v>48.2402007829647</v>
      </c>
      <c r="Y515" s="4">
        <f t="shared" si="442"/>
        <v>-1.55006524323808</v>
      </c>
      <c r="Z515" t="str">
        <f t="shared" si="429"/>
        <v>-6,10990685678439+15,1346125327215i</v>
      </c>
      <c r="AA515" s="4">
        <f t="shared" si="443"/>
        <v>16.3213804046775</v>
      </c>
      <c r="AB515" s="4">
        <f t="shared" si="444"/>
        <v>1.95449190739779</v>
      </c>
      <c r="AC515" s="67" t="str">
        <f t="shared" si="445"/>
        <v>-1,98128089160171+0,776993380087023i</v>
      </c>
      <c r="AD515" s="68">
        <f t="shared" si="446"/>
        <v>6.56020797139624</v>
      </c>
      <c r="AE515" s="31">
        <f t="shared" si="447"/>
        <v>158.586517179971</v>
      </c>
      <c r="AF515" s="32" t="str">
        <f t="shared" si="448"/>
        <v>249,914648392112</v>
      </c>
      <c r="AG515" s="32" t="str">
        <f t="shared" si="430"/>
        <v>1+6157,00019616131i</v>
      </c>
      <c r="AH515" s="32">
        <f t="shared" si="449"/>
        <v>6157.00027736969</v>
      </c>
      <c r="AI515" s="32">
        <f t="shared" si="450"/>
        <v>1.57063391004009</v>
      </c>
      <c r="AJ515" s="32" t="str">
        <f t="shared" si="431"/>
        <v>1+91,9445362626756i</v>
      </c>
      <c r="AK515" s="32">
        <f t="shared" si="451"/>
        <v>91.9499741629027</v>
      </c>
      <c r="AL515" s="32">
        <f t="shared" si="452"/>
        <v>1.55992063354075</v>
      </c>
      <c r="AM515" s="32" t="str">
        <f t="shared" si="432"/>
        <v>1-9,30455079658528i</v>
      </c>
      <c r="AN515" s="32">
        <f t="shared" si="453"/>
        <v>9.35813365614297</v>
      </c>
      <c r="AO515" s="32">
        <f t="shared" si="454"/>
        <v>-1.46373299334144</v>
      </c>
      <c r="AP515" s="30" t="str">
        <f t="shared" si="455"/>
        <v>3,36003044121965-34,7651748101914i</v>
      </c>
      <c r="AQ515" s="32">
        <f t="shared" si="456"/>
        <v>30.863267889163</v>
      </c>
      <c r="AR515" s="31">
        <f t="shared" si="457"/>
        <v>-84.4795483806839</v>
      </c>
      <c r="AS515" t="str">
        <f t="shared" si="433"/>
        <v>-0,000100699300699301</v>
      </c>
      <c r="AT515" t="str">
        <f t="shared" si="434"/>
        <v>1,31759804197852i</v>
      </c>
      <c r="AU515">
        <f t="shared" si="458"/>
        <v>1.31759804197852</v>
      </c>
      <c r="AV515">
        <f t="shared" si="459"/>
        <v>1.5707963267949</v>
      </c>
      <c r="AW515" t="str">
        <f t="shared" si="435"/>
        <v>1+67,4586030350605i</v>
      </c>
      <c r="AX515">
        <f t="shared" si="460"/>
        <v>67.4660145809864</v>
      </c>
      <c r="AY515">
        <f t="shared" si="461"/>
        <v>1.55597350634991</v>
      </c>
      <c r="AZ515" t="str">
        <f t="shared" si="436"/>
        <v>1+3225,0953408464i</v>
      </c>
      <c r="BA515">
        <f t="shared" si="462"/>
        <v>3225.09549588057</v>
      </c>
      <c r="BB515">
        <f t="shared" si="463"/>
        <v>1.57048625845202</v>
      </c>
      <c r="BC515" s="30" t="str">
        <f t="shared" si="464"/>
        <v>-0,0000530194927509639+0,00365304733411564i</v>
      </c>
      <c r="BD515" s="32">
        <f t="shared" si="465"/>
        <v>-48.7459792651663</v>
      </c>
      <c r="BE515" s="31">
        <f t="shared" si="466"/>
        <v>90.8315194445708</v>
      </c>
      <c r="BF515" s="30" t="str">
        <f t="shared" si="467"/>
        <v>-0,0027333470878825-0,00727890867408296i</v>
      </c>
      <c r="BG515" s="68">
        <f t="shared" si="468"/>
        <v>-42.18577129377</v>
      </c>
      <c r="BH515" s="31">
        <f t="shared" si="469"/>
        <v>-110.581963375458</v>
      </c>
      <c r="BI515" s="30" t="str">
        <f t="shared" si="476"/>
        <v>0,126820682050813+0,0141175821796798i</v>
      </c>
      <c r="BJ515" s="68">
        <f t="shared" si="470"/>
        <v>-17.8827113760032</v>
      </c>
      <c r="BK515" s="31">
        <f t="shared" si="477"/>
        <v>6.35197106388685</v>
      </c>
      <c r="BL515" s="32">
        <f t="shared" si="471"/>
        <v>-42.18577129377</v>
      </c>
      <c r="BM515" s="31">
        <f t="shared" si="472"/>
        <v>-110.581963375458</v>
      </c>
      <c r="BO515">
        <f t="shared" si="473"/>
        <v>0</v>
      </c>
      <c r="BP515">
        <f t="shared" si="474"/>
        <v>0</v>
      </c>
    </row>
    <row r="516" spans="14:68">
      <c r="N516" s="7">
        <v>98</v>
      </c>
      <c r="O516" s="18">
        <f t="shared" si="475"/>
        <v>954992.586021437</v>
      </c>
      <c r="P516" s="86" t="str">
        <f t="shared" si="425"/>
        <v>75</v>
      </c>
      <c r="Q516" s="4" t="str">
        <f t="shared" si="426"/>
        <v>1+9800,64579542704i</v>
      </c>
      <c r="R516" s="4">
        <f t="shared" si="437"/>
        <v>9800.64584644409</v>
      </c>
      <c r="S516" s="4">
        <f t="shared" si="438"/>
        <v>1.57069429270271</v>
      </c>
      <c r="T516" s="4" t="str">
        <f t="shared" si="427"/>
        <v>1+94,0861996360996i</v>
      </c>
      <c r="U516" s="4">
        <f t="shared" si="439"/>
        <v>94.0915137616777</v>
      </c>
      <c r="V516" s="4">
        <f t="shared" si="440"/>
        <v>1.56016817568398</v>
      </c>
      <c r="W516" t="str">
        <f t="shared" si="428"/>
        <v>1-49,3532520412576i</v>
      </c>
      <c r="X516" s="4">
        <f t="shared" si="441"/>
        <v>49.3633820462891</v>
      </c>
      <c r="Y516" s="4">
        <f t="shared" si="442"/>
        <v>-1.55053700969639</v>
      </c>
      <c r="Z516" t="str">
        <f t="shared" si="429"/>
        <v>-6,44498644372176+15,4871429456184i</v>
      </c>
      <c r="AA516" s="4">
        <f t="shared" si="443"/>
        <v>16.7746668186815</v>
      </c>
      <c r="AB516" s="4">
        <f t="shared" si="444"/>
        <v>1.96514778440201</v>
      </c>
      <c r="AC516" s="67" t="str">
        <f t="shared" si="445"/>
        <v>-1,96408582900954+0,795018078249144i</v>
      </c>
      <c r="AD516" s="68">
        <f t="shared" si="446"/>
        <v>6.5221605428705</v>
      </c>
      <c r="AE516" s="31">
        <f t="shared" si="447"/>
        <v>157.962997120007</v>
      </c>
      <c r="AF516" s="32" t="str">
        <f t="shared" si="448"/>
        <v>249,914648392112</v>
      </c>
      <c r="AG516" s="32" t="str">
        <f t="shared" si="430"/>
        <v>1+6300,41515420309i</v>
      </c>
      <c r="AH516" s="32">
        <f t="shared" si="449"/>
        <v>6300.41523356294</v>
      </c>
      <c r="AI516" s="32">
        <f t="shared" si="450"/>
        <v>1.57063760709673</v>
      </c>
      <c r="AJ516" s="32" t="str">
        <f t="shared" si="431"/>
        <v>1+94,0861996360996i</v>
      </c>
      <c r="AK516" s="32">
        <f t="shared" si="451"/>
        <v>94.0915137616777</v>
      </c>
      <c r="AL516" s="32">
        <f t="shared" si="452"/>
        <v>1.56016817568398</v>
      </c>
      <c r="AM516" s="32" t="str">
        <f t="shared" si="432"/>
        <v>1-9,52128162646602i</v>
      </c>
      <c r="AN516" s="32">
        <f t="shared" si="453"/>
        <v>9.57365154005928</v>
      </c>
      <c r="AO516" s="32">
        <f t="shared" si="454"/>
        <v>-1.46615209577202</v>
      </c>
      <c r="AP516" s="30" t="str">
        <f t="shared" si="455"/>
        <v>3,36003014849531-35,5731154737312i</v>
      </c>
      <c r="AQ516" s="32">
        <f t="shared" si="456"/>
        <v>31.061012223857</v>
      </c>
      <c r="AR516" s="31">
        <f t="shared" si="457"/>
        <v>-84.6041814458493</v>
      </c>
      <c r="AS516" t="str">
        <f t="shared" si="433"/>
        <v>-0,000100699300699301</v>
      </c>
      <c r="AT516" t="str">
        <f t="shared" si="434"/>
        <v>1,34828884299946i</v>
      </c>
      <c r="AU516">
        <f t="shared" si="458"/>
        <v>1.34828884299946</v>
      </c>
      <c r="AV516">
        <f t="shared" si="459"/>
        <v>1.5707963267949</v>
      </c>
      <c r="AW516" t="str">
        <f t="shared" si="435"/>
        <v>1+69,0299157548266i</v>
      </c>
      <c r="AX516">
        <f t="shared" si="460"/>
        <v>69.0371586112758</v>
      </c>
      <c r="AY516">
        <f t="shared" si="461"/>
        <v>1.5563108671903</v>
      </c>
      <c r="AZ516" t="str">
        <f t="shared" si="436"/>
        <v>1+3300,21746172543i</v>
      </c>
      <c r="BA516">
        <f t="shared" si="462"/>
        <v>3300.21761323059</v>
      </c>
      <c r="BB516">
        <f t="shared" si="463"/>
        <v>1.57049331646876</v>
      </c>
      <c r="BC516" s="30" t="str">
        <f t="shared" si="464"/>
        <v>-0,0000506337231643724+0,00356992838619754i</v>
      </c>
      <c r="BD516" s="32">
        <f t="shared" si="465"/>
        <v>-48.9459363401651</v>
      </c>
      <c r="BE516" s="31">
        <f t="shared" si="466"/>
        <v>90.8125944868139</v>
      </c>
      <c r="BF516" s="30" t="str">
        <f t="shared" si="467"/>
        <v>-0,0027387086269447-0,00705190047919422i</v>
      </c>
      <c r="BG516" s="68">
        <f t="shared" si="468"/>
        <v>-42.4237757972946</v>
      </c>
      <c r="BH516" s="31">
        <f t="shared" si="469"/>
        <v>-111.224408393179</v>
      </c>
      <c r="BI516" s="30" t="str">
        <f t="shared" si="476"/>
        <v>0,126823343878793+0,0137962662865841i</v>
      </c>
      <c r="BJ516" s="68">
        <f t="shared" si="470"/>
        <v>-17.8849241163081</v>
      </c>
      <c r="BK516" s="31">
        <f t="shared" si="477"/>
        <v>6.20841304096461</v>
      </c>
      <c r="BL516" s="32">
        <f t="shared" si="471"/>
        <v>-42.4237757972946</v>
      </c>
      <c r="BM516" s="31">
        <f t="shared" si="472"/>
        <v>-111.224408393179</v>
      </c>
      <c r="BO516">
        <f t="shared" si="473"/>
        <v>0</v>
      </c>
      <c r="BP516">
        <f t="shared" si="474"/>
        <v>0</v>
      </c>
    </row>
    <row r="517" spans="14:68">
      <c r="N517" s="7">
        <v>99</v>
      </c>
      <c r="O517" s="18">
        <f t="shared" si="475"/>
        <v>977237.220955812</v>
      </c>
      <c r="P517" s="86" t="str">
        <f t="shared" si="425"/>
        <v>75</v>
      </c>
      <c r="Q517" s="4" t="str">
        <f t="shared" si="426"/>
        <v>1+10028,9321622863i</v>
      </c>
      <c r="R517" s="4">
        <f t="shared" si="437"/>
        <v>10028.9322121421</v>
      </c>
      <c r="S517" s="4">
        <f t="shared" si="438"/>
        <v>1.57069661528219</v>
      </c>
      <c r="T517" s="4" t="str">
        <f t="shared" si="427"/>
        <v>1+96,2777487579488i</v>
      </c>
      <c r="U517" s="4">
        <f t="shared" si="439"/>
        <v>96.2829419258609</v>
      </c>
      <c r="V517" s="4">
        <f t="shared" si="440"/>
        <v>1.56041008433876</v>
      </c>
      <c r="W517" t="str">
        <f t="shared" si="428"/>
        <v>1-50,5028369600847i</v>
      </c>
      <c r="X517" s="4">
        <f t="shared" si="441"/>
        <v>50.5127364237664</v>
      </c>
      <c r="Y517" s="4">
        <f t="shared" si="442"/>
        <v>-1.55099804615434</v>
      </c>
      <c r="Z517" t="str">
        <f t="shared" si="429"/>
        <v>-6,79585784507301+15,8478848467016i</v>
      </c>
      <c r="AA517" s="4">
        <f t="shared" si="443"/>
        <v>17.2435245226942</v>
      </c>
      <c r="AB517" s="4">
        <f t="shared" si="444"/>
        <v>1.97589638142171</v>
      </c>
      <c r="AC517" s="67" t="str">
        <f t="shared" si="445"/>
        <v>-1,9463648488222+0,812806949744284i</v>
      </c>
      <c r="AD517" s="68">
        <f t="shared" si="446"/>
        <v>6.48261552804487</v>
      </c>
      <c r="AE517" s="31">
        <f t="shared" si="447"/>
        <v>157.334459702795</v>
      </c>
      <c r="AF517" s="32" t="str">
        <f t="shared" si="448"/>
        <v>249,914648392112</v>
      </c>
      <c r="AG517" s="32" t="str">
        <f t="shared" si="430"/>
        <v>1+6447,17067575549i</v>
      </c>
      <c r="AH517" s="32">
        <f t="shared" si="449"/>
        <v>6447.17075330889</v>
      </c>
      <c r="AI517" s="32">
        <f t="shared" si="450"/>
        <v>1.57064121999809</v>
      </c>
      <c r="AJ517" s="32" t="str">
        <f t="shared" si="431"/>
        <v>1+96,2777487579488i</v>
      </c>
      <c r="AK517" s="32">
        <f t="shared" si="451"/>
        <v>96.2829419258609</v>
      </c>
      <c r="AL517" s="32">
        <f t="shared" si="452"/>
        <v>1.56041008433876</v>
      </c>
      <c r="AM517" s="32" t="str">
        <f t="shared" si="432"/>
        <v>1-9,74306076589418i</v>
      </c>
      <c r="AN517" s="32">
        <f t="shared" si="453"/>
        <v>9.79424489625956</v>
      </c>
      <c r="AO517" s="32">
        <f t="shared" si="454"/>
        <v>-1.46851732111557</v>
      </c>
      <c r="AP517" s="30" t="str">
        <f t="shared" si="455"/>
        <v>3,36002986894571-36,3999174739569i</v>
      </c>
      <c r="AQ517" s="32">
        <f t="shared" si="456"/>
        <v>31.2588570082078</v>
      </c>
      <c r="AR517" s="31">
        <f t="shared" si="457"/>
        <v>-84.726045534685</v>
      </c>
      <c r="AS517" t="str">
        <f t="shared" si="433"/>
        <v>-0,000100699300699301</v>
      </c>
      <c r="AT517" t="str">
        <f t="shared" si="434"/>
        <v>1,37969452461168i</v>
      </c>
      <c r="AU517">
        <f t="shared" si="458"/>
        <v>1.37969452461168</v>
      </c>
      <c r="AV517">
        <f t="shared" si="459"/>
        <v>1.5707963267949</v>
      </c>
      <c r="AW517" t="str">
        <f t="shared" si="435"/>
        <v>1+70,6378290496449i</v>
      </c>
      <c r="AX517">
        <f t="shared" si="460"/>
        <v>70.6449070552638</v>
      </c>
      <c r="AY517">
        <f t="shared" si="461"/>
        <v>1.55664055194677</v>
      </c>
      <c r="AZ517" t="str">
        <f t="shared" si="436"/>
        <v>1+3377,08940158621i</v>
      </c>
      <c r="BA517">
        <f t="shared" si="462"/>
        <v>3377.0895496427</v>
      </c>
      <c r="BB517">
        <f t="shared" si="463"/>
        <v>1.57050021382546</v>
      </c>
      <c r="BC517" s="30" t="str">
        <f t="shared" si="464"/>
        <v>-0,0000483552868522885+0,00348869915032489i</v>
      </c>
      <c r="BD517" s="32">
        <f t="shared" si="465"/>
        <v>-49.1458953467109</v>
      </c>
      <c r="BE517" s="31">
        <f t="shared" si="466"/>
        <v>90.794100131127</v>
      </c>
      <c r="BF517" s="30" t="str">
        <f t="shared" si="467"/>
        <v>-0,00274152188436704-0,00682958490751866i</v>
      </c>
      <c r="BG517" s="68">
        <f t="shared" si="468"/>
        <v>-42.663279818666</v>
      </c>
      <c r="BH517" s="31">
        <f t="shared" si="469"/>
        <v>-111.871440166078</v>
      </c>
      <c r="BI517" s="30" t="str">
        <f t="shared" si="476"/>
        <v>0,126825885955144+0,01348226179971i</v>
      </c>
      <c r="BJ517" s="68">
        <f t="shared" si="470"/>
        <v>-17.887038338503</v>
      </c>
      <c r="BK517" s="31">
        <f t="shared" si="477"/>
        <v>6.06805459644196</v>
      </c>
      <c r="BL517" s="32">
        <f t="shared" si="471"/>
        <v>-42.663279818666</v>
      </c>
      <c r="BM517" s="31">
        <f t="shared" si="472"/>
        <v>-111.871440166078</v>
      </c>
      <c r="BO517">
        <f t="shared" si="473"/>
        <v>0</v>
      </c>
      <c r="BP517">
        <f t="shared" si="474"/>
        <v>0</v>
      </c>
    </row>
    <row r="518" spans="14:68">
      <c r="N518" s="7">
        <v>100</v>
      </c>
      <c r="O518" s="18">
        <f t="shared" si="475"/>
        <v>1000000</v>
      </c>
      <c r="P518" s="86" t="str">
        <f t="shared" si="425"/>
        <v>75</v>
      </c>
      <c r="Q518" s="4" t="str">
        <f t="shared" si="426"/>
        <v>1+10262,5360017267i</v>
      </c>
      <c r="R518" s="4">
        <f t="shared" si="437"/>
        <v>10262.5360504476</v>
      </c>
      <c r="S518" s="4">
        <f t="shared" si="438"/>
        <v>1.57069888499331</v>
      </c>
      <c r="T518" s="4" t="str">
        <f t="shared" si="427"/>
        <v>1+98,520345616576i</v>
      </c>
      <c r="U518" s="4">
        <f t="shared" si="439"/>
        <v>98.5254205797143</v>
      </c>
      <c r="V518" s="4">
        <f t="shared" si="440"/>
        <v>1.56064648765496</v>
      </c>
      <c r="W518" t="str">
        <f t="shared" si="428"/>
        <v>1-51,6791991515521i</v>
      </c>
      <c r="X518" s="4">
        <f t="shared" si="441"/>
        <v>51.6888733185952</v>
      </c>
      <c r="Y518" s="4">
        <f t="shared" si="442"/>
        <v>-1.55144859627515</v>
      </c>
      <c r="Z518" t="str">
        <f t="shared" si="429"/>
        <v>-7,16326530612251+16,2170295061021i</v>
      </c>
      <c r="AA518" s="4">
        <f t="shared" si="443"/>
        <v>17.7286326558955</v>
      </c>
      <c r="AB518" s="4">
        <f t="shared" si="444"/>
        <v>1.98673706457329</v>
      </c>
      <c r="AC518" s="67" t="str">
        <f t="shared" si="445"/>
        <v>-1,9281177274413+0,830341399227458i</v>
      </c>
      <c r="AD518" s="68">
        <f t="shared" si="446"/>
        <v>6.44153379061337</v>
      </c>
      <c r="AE518" s="31">
        <f t="shared" si="447"/>
        <v>156.700934558202</v>
      </c>
      <c r="AF518" s="32" t="str">
        <f t="shared" si="448"/>
        <v>249,914648392112</v>
      </c>
      <c r="AG518" s="32" t="str">
        <f t="shared" si="430"/>
        <v>1+6597,34457253857i</v>
      </c>
      <c r="AH518" s="32">
        <f t="shared" si="449"/>
        <v>6597.34464832664</v>
      </c>
      <c r="AI518" s="32">
        <f t="shared" si="450"/>
        <v>1.57064475065978</v>
      </c>
      <c r="AJ518" s="32" t="str">
        <f t="shared" si="431"/>
        <v>1+98,520345616576i</v>
      </c>
      <c r="AK518" s="32">
        <f t="shared" si="451"/>
        <v>98.5254205797143</v>
      </c>
      <c r="AL518" s="32">
        <f t="shared" si="452"/>
        <v>1.56064648765496</v>
      </c>
      <c r="AM518" s="32" t="str">
        <f t="shared" si="432"/>
        <v>1-9,97000580510507i</v>
      </c>
      <c r="AN518" s="32">
        <f t="shared" si="453"/>
        <v>10.0200307261918</v>
      </c>
      <c r="AO518" s="32">
        <f t="shared" si="454"/>
        <v>-1.47082981753395</v>
      </c>
      <c r="AP518" s="30" t="str">
        <f t="shared" si="455"/>
        <v>3,36002960197793-37,2460191922333i</v>
      </c>
      <c r="AQ518" s="32">
        <f t="shared" si="456"/>
        <v>31.4567978145996</v>
      </c>
      <c r="AR518" s="31">
        <f t="shared" si="457"/>
        <v>-84.8451991993305</v>
      </c>
      <c r="AS518" t="str">
        <f t="shared" si="433"/>
        <v>-0,000100699300699301</v>
      </c>
      <c r="AT518" t="str">
        <f t="shared" si="434"/>
        <v>1,41183173852325i</v>
      </c>
      <c r="AU518">
        <f t="shared" si="458"/>
        <v>1.41183173852325</v>
      </c>
      <c r="AV518">
        <f t="shared" si="459"/>
        <v>1.5707963267949</v>
      </c>
      <c r="AW518" t="str">
        <f t="shared" si="435"/>
        <v>1+72,2831954564274i</v>
      </c>
      <c r="AX518">
        <f t="shared" si="460"/>
        <v>72.2901123625637</v>
      </c>
      <c r="AY518">
        <f t="shared" si="461"/>
        <v>1.55696273513569</v>
      </c>
      <c r="AZ518" t="str">
        <f t="shared" si="436"/>
        <v>1+3455,75191894877i</v>
      </c>
      <c r="BA518">
        <f t="shared" si="462"/>
        <v>3455.75206363508</v>
      </c>
      <c r="BB518">
        <f t="shared" si="463"/>
        <v>1.57050695417917</v>
      </c>
      <c r="BC518" s="30" t="str">
        <f t="shared" si="464"/>
        <v>-0,0000461793568959313+0,00340931676526118i</v>
      </c>
      <c r="BD518" s="32">
        <f t="shared" si="465"/>
        <v>-49.3458561979044</v>
      </c>
      <c r="BE518" s="31">
        <f t="shared" si="466"/>
        <v>90.7760265879921</v>
      </c>
      <c r="BF518" s="30" t="str">
        <f t="shared" si="467"/>
        <v>-0,00274185761660372-0,0066119087253833i</v>
      </c>
      <c r="BG518" s="68">
        <f t="shared" si="468"/>
        <v>-42.904322407291</v>
      </c>
      <c r="BH518" s="31">
        <f t="shared" si="469"/>
        <v>-112.523038853806</v>
      </c>
      <c r="BI518" s="30" t="str">
        <f t="shared" si="476"/>
        <v>0,12682831366515+0,0131754024670281i</v>
      </c>
      <c r="BJ518" s="68">
        <f t="shared" si="470"/>
        <v>-17.8890583833048</v>
      </c>
      <c r="BK518" s="31">
        <f t="shared" si="477"/>
        <v>5.93082738866163</v>
      </c>
      <c r="BL518" s="32">
        <f t="shared" si="471"/>
        <v>-42.904322407291</v>
      </c>
      <c r="BM518" s="31">
        <f t="shared" si="472"/>
        <v>-112.523038853806</v>
      </c>
      <c r="BO518">
        <f t="shared" si="473"/>
        <v>0</v>
      </c>
      <c r="BP518">
        <f t="shared" si="474"/>
        <v>0</v>
      </c>
    </row>
    <row r="519" spans="14:68">
      <c r="N519" s="7">
        <v>1</v>
      </c>
      <c r="O519" s="18">
        <f>10^(6+(N519/100))</f>
        <v>1023292.99228076</v>
      </c>
      <c r="P519" s="86" t="str">
        <f t="shared" si="425"/>
        <v>75</v>
      </c>
      <c r="Q519" s="4" t="str">
        <f t="shared" si="426"/>
        <v>1+10501,5811735959i</v>
      </c>
      <c r="R519" s="4">
        <f t="shared" si="437"/>
        <v>10501.5812212078</v>
      </c>
      <c r="S519" s="4">
        <f t="shared" si="438"/>
        <v>1.5707011030395</v>
      </c>
      <c r="T519" s="4" t="str">
        <f t="shared" si="427"/>
        <v>1+100,815179266521i</v>
      </c>
      <c r="U519" s="4">
        <f t="shared" si="439"/>
        <v>100.820138715143</v>
      </c>
      <c r="V519" s="4">
        <f t="shared" si="440"/>
        <v>1.56087751087097</v>
      </c>
      <c r="W519" t="str">
        <f t="shared" si="428"/>
        <v>1-52,882962338465i</v>
      </c>
      <c r="X519" s="4">
        <f t="shared" si="441"/>
        <v>52.8924163344</v>
      </c>
      <c r="Y519" s="4">
        <f t="shared" si="442"/>
        <v>-1.55188889821437</v>
      </c>
      <c r="Z519" t="str">
        <f t="shared" si="429"/>
        <v>-7,54798814735442+16,5947726492046i</v>
      </c>
      <c r="AA519" s="4">
        <f t="shared" si="443"/>
        <v>18.230704987778</v>
      </c>
      <c r="AB519" s="4">
        <f t="shared" si="444"/>
        <v>1.99766898868703</v>
      </c>
      <c r="AC519" s="67" t="str">
        <f t="shared" si="445"/>
        <v>-1,90934521316001+0,847602285110322i</v>
      </c>
      <c r="AD519" s="68">
        <f t="shared" si="446"/>
        <v>6.39887605696951</v>
      </c>
      <c r="AE519" s="31">
        <f t="shared" si="447"/>
        <v>156.062463572261</v>
      </c>
      <c r="AF519" s="32" t="str">
        <f t="shared" si="448"/>
        <v>249,914648392112</v>
      </c>
      <c r="AG519" s="32" t="str">
        <f t="shared" si="430"/>
        <v>1+6751,01646874021i</v>
      </c>
      <c r="AH519" s="32">
        <f t="shared" si="449"/>
        <v>6751.01654280313</v>
      </c>
      <c r="AI519" s="32">
        <f t="shared" si="450"/>
        <v>1.5706482009538</v>
      </c>
      <c r="AJ519" s="32" t="str">
        <f t="shared" si="431"/>
        <v>1+100,815179266521i</v>
      </c>
      <c r="AK519" s="32">
        <f t="shared" si="451"/>
        <v>100.820138715143</v>
      </c>
      <c r="AL519" s="32">
        <f t="shared" si="452"/>
        <v>1.56087751087097</v>
      </c>
      <c r="AM519" s="32" t="str">
        <f t="shared" si="432"/>
        <v>1-10,2022370733625i</v>
      </c>
      <c r="AN519" s="32">
        <f t="shared" si="453"/>
        <v>10.2511287818021</v>
      </c>
      <c r="AO519" s="32">
        <f t="shared" si="454"/>
        <v>-1.47309071215801</v>
      </c>
      <c r="AP519" s="30" t="str">
        <f t="shared" si="455"/>
        <v>3,3600293470257-38,1118692428914i</v>
      </c>
      <c r="AQ519" s="32">
        <f t="shared" si="456"/>
        <v>31.6548304065998</v>
      </c>
      <c r="AR519" s="31">
        <f t="shared" si="457"/>
        <v>-84.9616999512512</v>
      </c>
      <c r="AS519" t="str">
        <f t="shared" si="433"/>
        <v>-0,000100699300699301</v>
      </c>
      <c r="AT519" t="str">
        <f t="shared" si="434"/>
        <v>1,44471752431041i</v>
      </c>
      <c r="AU519">
        <f t="shared" si="458"/>
        <v>1.44471752431041</v>
      </c>
      <c r="AV519">
        <f t="shared" si="459"/>
        <v>1.5707963267949</v>
      </c>
      <c r="AW519" t="str">
        <f t="shared" si="435"/>
        <v>1+73,9668873702226i</v>
      </c>
      <c r="AX519">
        <f t="shared" si="460"/>
        <v>73.9736468429075</v>
      </c>
      <c r="AY519">
        <f t="shared" si="461"/>
        <v>1.55727758731516</v>
      </c>
      <c r="AZ519" t="str">
        <f t="shared" si="436"/>
        <v>1+3536,24672172106i</v>
      </c>
      <c r="BA519">
        <f t="shared" si="462"/>
        <v>3536.24686311391</v>
      </c>
      <c r="BB519">
        <f t="shared" si="463"/>
        <v>1.57051354110373</v>
      </c>
      <c r="BC519" s="30" t="str">
        <f t="shared" si="464"/>
        <v>-0,0000441013232828971+0,00333173933514838i</v>
      </c>
      <c r="BD519" s="32">
        <f t="shared" si="465"/>
        <v>-49.5458188107548</v>
      </c>
      <c r="BE519" s="31">
        <f t="shared" si="466"/>
        <v>90.7583642899154</v>
      </c>
      <c r="BF519" s="30" t="str">
        <f t="shared" si="467"/>
        <v>-0,00273978522335949-0,00639882093345345i</v>
      </c>
      <c r="BG519" s="68">
        <f t="shared" si="468"/>
        <v>-43.1469427537853</v>
      </c>
      <c r="BH519" s="31">
        <f t="shared" si="469"/>
        <v>-113.179172137824</v>
      </c>
      <c r="BI519" s="30" t="str">
        <f t="shared" si="476"/>
        <v>0,1268306321521+0,0128755258091347i</v>
      </c>
      <c r="BJ519" s="68">
        <f t="shared" si="470"/>
        <v>-17.890988404155</v>
      </c>
      <c r="BK519" s="31">
        <f t="shared" si="477"/>
        <v>5.79666433866418</v>
      </c>
      <c r="BL519" s="32">
        <f t="shared" si="471"/>
        <v>-43.1469427537853</v>
      </c>
      <c r="BM519" s="31">
        <f t="shared" si="472"/>
        <v>-113.179172137824</v>
      </c>
      <c r="BO519">
        <f t="shared" si="473"/>
        <v>0</v>
      </c>
      <c r="BP519">
        <f t="shared" si="474"/>
        <v>0</v>
      </c>
    </row>
    <row r="520" spans="14:68">
      <c r="N520" s="7">
        <v>2</v>
      </c>
      <c r="O520" s="18">
        <f t="shared" ref="O520:O560" si="478">10^(6+(N520/100))</f>
        <v>1047128.5480509</v>
      </c>
      <c r="P520" s="86" t="str">
        <f t="shared" si="425"/>
        <v>75</v>
      </c>
      <c r="Q520" s="4" t="str">
        <f t="shared" si="426"/>
        <v>1+10746,1944228081i</v>
      </c>
      <c r="R520" s="4">
        <f t="shared" si="437"/>
        <v>10746.1944693362</v>
      </c>
      <c r="S520" s="4">
        <f t="shared" si="438"/>
        <v>1.57070327059679</v>
      </c>
      <c r="T520" s="4" t="str">
        <f t="shared" si="427"/>
        <v>1+103,163466458958i</v>
      </c>
      <c r="U520" s="4">
        <f t="shared" si="439"/>
        <v>103.168313022112</v>
      </c>
      <c r="V520" s="4">
        <f t="shared" si="440"/>
        <v>1.56110327637968</v>
      </c>
      <c r="W520" t="str">
        <f t="shared" si="428"/>
        <v>1-54,1147647719981i</v>
      </c>
      <c r="X520" s="4">
        <f t="shared" si="441"/>
        <v>54.1240036058742</v>
      </c>
      <c r="Y520" s="4">
        <f t="shared" si="442"/>
        <v>-1.55231918474263</v>
      </c>
      <c r="Z520" t="str">
        <f t="shared" si="429"/>
        <v>-7,95084241749546+16,9813145604233i</v>
      </c>
      <c r="AA520" s="4">
        <f t="shared" si="443"/>
        <v>18.7504917094963</v>
      </c>
      <c r="AB520" s="4">
        <f t="shared" si="444"/>
        <v>2.00869109304822</v>
      </c>
      <c r="AC520" s="67" t="str">
        <f t="shared" si="445"/>
        <v>-1,89004908539597+0,864569971762433i</v>
      </c>
      <c r="AD520" s="68">
        <f t="shared" si="446"/>
        <v>6.35460300440489</v>
      </c>
      <c r="AE520" s="31">
        <f t="shared" si="447"/>
        <v>155.419101127885</v>
      </c>
      <c r="AF520" s="32" t="str">
        <f t="shared" si="448"/>
        <v>249,914648392112</v>
      </c>
      <c r="AG520" s="32" t="str">
        <f t="shared" si="430"/>
        <v>1+6908,26784323379i</v>
      </c>
      <c r="AH520" s="32">
        <f t="shared" si="449"/>
        <v>6908.26791561083</v>
      </c>
      <c r="AI520" s="32">
        <f t="shared" si="450"/>
        <v>1.57065157270954</v>
      </c>
      <c r="AJ520" s="32" t="str">
        <f t="shared" si="431"/>
        <v>1+103,163466458958i</v>
      </c>
      <c r="AK520" s="32">
        <f t="shared" si="451"/>
        <v>103.168313022112</v>
      </c>
      <c r="AL520" s="32">
        <f t="shared" si="452"/>
        <v>1.56110327637968</v>
      </c>
      <c r="AM520" s="32" t="str">
        <f t="shared" si="432"/>
        <v>1-10,4398777027587i</v>
      </c>
      <c r="AN520" s="32">
        <f t="shared" si="453"/>
        <v>10.4876616291983</v>
      </c>
      <c r="AO520" s="32">
        <f t="shared" si="454"/>
        <v>-1.47530111123814</v>
      </c>
      <c r="AP520" s="30" t="str">
        <f t="shared" si="455"/>
        <v>3,36002910354816-38,9979267110882i</v>
      </c>
      <c r="AQ520" s="32">
        <f t="shared" si="456"/>
        <v>31.852950731051</v>
      </c>
      <c r="AR520" s="31">
        <f t="shared" si="457"/>
        <v>-85.0756042661472</v>
      </c>
      <c r="AS520" t="str">
        <f t="shared" si="433"/>
        <v>-0,000100699300699301</v>
      </c>
      <c r="AT520" t="str">
        <f t="shared" si="434"/>
        <v>1,47836931845203i</v>
      </c>
      <c r="AU520">
        <f t="shared" si="458"/>
        <v>1.47836931845203</v>
      </c>
      <c r="AV520">
        <f t="shared" si="459"/>
        <v>1.5707963267949</v>
      </c>
      <c r="AW520" t="str">
        <f t="shared" si="435"/>
        <v>1+75,6897975067682i</v>
      </c>
      <c r="AX520">
        <f t="shared" si="460"/>
        <v>75.6964031286532</v>
      </c>
      <c r="AY520">
        <f t="shared" si="461"/>
        <v>1.55758527517412</v>
      </c>
      <c r="AZ520" t="str">
        <f t="shared" si="436"/>
        <v>1+3618,61648931294i</v>
      </c>
      <c r="BA520">
        <f t="shared" si="462"/>
        <v>3618.61662748729</v>
      </c>
      <c r="BB520">
        <f t="shared" si="463"/>
        <v>1.5705199780916</v>
      </c>
      <c r="BC520" s="30" t="str">
        <f t="shared" si="464"/>
        <v>-0,0000421167831747331+0,0032559259082168i</v>
      </c>
      <c r="BD520" s="32">
        <f t="shared" si="465"/>
        <v>-49.7457831060033</v>
      </c>
      <c r="BE520" s="31">
        <f t="shared" si="466"/>
        <v>90.7411038864273</v>
      </c>
      <c r="BF520" s="30" t="str">
        <f t="shared" si="467"/>
        <v>-0,00273537298300835-0,00619027269098231i</v>
      </c>
      <c r="BG520" s="68">
        <f t="shared" si="468"/>
        <v>-43.3911801015984</v>
      </c>
      <c r="BH520" s="31">
        <f t="shared" si="469"/>
        <v>-113.839794985688</v>
      </c>
      <c r="BI520" s="30" t="str">
        <f t="shared" si="476"/>
        <v>0,126832846328157+0,01258247303416i</v>
      </c>
      <c r="BJ520" s="68">
        <f t="shared" si="470"/>
        <v>-17.8928323749523</v>
      </c>
      <c r="BK520" s="31">
        <f t="shared" si="477"/>
        <v>5.66549962028016</v>
      </c>
      <c r="BL520" s="32">
        <f t="shared" si="471"/>
        <v>-43.3911801015984</v>
      </c>
      <c r="BM520" s="31">
        <f t="shared" si="472"/>
        <v>-113.839794985688</v>
      </c>
      <c r="BO520">
        <f t="shared" si="473"/>
        <v>0</v>
      </c>
      <c r="BP520">
        <f t="shared" si="474"/>
        <v>0</v>
      </c>
    </row>
    <row r="521" spans="14:68">
      <c r="N521" s="7">
        <v>3</v>
      </c>
      <c r="O521" s="18">
        <f t="shared" si="478"/>
        <v>1071519.30523761</v>
      </c>
      <c r="P521" s="86" t="str">
        <f t="shared" si="425"/>
        <v>75</v>
      </c>
      <c r="Q521" s="4" t="str">
        <f t="shared" si="426"/>
        <v>1+10996,5054465461i</v>
      </c>
      <c r="R521" s="4">
        <f t="shared" si="437"/>
        <v>10996.5054920151</v>
      </c>
      <c r="S521" s="4">
        <f t="shared" si="438"/>
        <v>1.57070538881445</v>
      </c>
      <c r="T521" s="4" t="str">
        <f t="shared" si="427"/>
        <v>1+105,566452286843i</v>
      </c>
      <c r="U521" s="4">
        <f t="shared" si="439"/>
        <v>105.571188533758</v>
      </c>
      <c r="V521" s="4">
        <f t="shared" si="440"/>
        <v>1.56132390379283</v>
      </c>
      <c r="W521" t="str">
        <f t="shared" si="428"/>
        <v>1-55,3752595701072i</v>
      </c>
      <c r="X521" s="4">
        <f t="shared" si="441"/>
        <v>55.384288137131</v>
      </c>
      <c r="Y521" s="4">
        <f t="shared" si="442"/>
        <v>-1.55273968336587</v>
      </c>
      <c r="Z521" t="str">
        <f t="shared" si="429"/>
        <v>-8,37268262446447+17,3768601893963i</v>
      </c>
      <c r="AA521" s="4">
        <f t="shared" si="443"/>
        <v>19.2887813086217</v>
      </c>
      <c r="AB521" s="4">
        <f t="shared" si="444"/>
        <v>2.01980209765248</v>
      </c>
      <c r="AC521" s="67" t="str">
        <f t="shared" si="445"/>
        <v>-1,87023221145646+0,88122438768855i</v>
      </c>
      <c r="AD521" s="68">
        <f t="shared" si="446"/>
        <v>6.30867535373356</v>
      </c>
      <c r="AE521" s="31">
        <f t="shared" si="447"/>
        <v>154.770914316194</v>
      </c>
      <c r="AF521" s="32" t="str">
        <f t="shared" si="448"/>
        <v>249,914648392112</v>
      </c>
      <c r="AG521" s="32" t="str">
        <f t="shared" si="430"/>
        <v>1+7069,18207277964i</v>
      </c>
      <c r="AH521" s="32">
        <f t="shared" si="449"/>
        <v>7069.18214350918</v>
      </c>
      <c r="AI521" s="32">
        <f t="shared" si="450"/>
        <v>1.57065486771476</v>
      </c>
      <c r="AJ521" s="32" t="str">
        <f t="shared" si="431"/>
        <v>1+105,566452286843i</v>
      </c>
      <c r="AK521" s="32">
        <f t="shared" si="451"/>
        <v>105.571188533758</v>
      </c>
      <c r="AL521" s="32">
        <f t="shared" si="452"/>
        <v>1.56132390379283</v>
      </c>
      <c r="AM521" s="32" t="str">
        <f t="shared" si="432"/>
        <v>1-10,6830536935011i</v>
      </c>
      <c r="AN521" s="32">
        <f t="shared" si="453"/>
        <v>10.729754713796</v>
      </c>
      <c r="AO521" s="32">
        <f t="shared" si="454"/>
        <v>-1.47746210031198</v>
      </c>
      <c r="AP521" s="30" t="str">
        <f t="shared" si="455"/>
        <v>3,36002887102896-39,9046613962232i</v>
      </c>
      <c r="AQ521" s="32">
        <f t="shared" si="456"/>
        <v>32.0511549104596</v>
      </c>
      <c r="AR521" s="31">
        <f t="shared" si="457"/>
        <v>-85.1869675899263</v>
      </c>
      <c r="AS521" t="str">
        <f t="shared" si="433"/>
        <v>-0,000100699300699301</v>
      </c>
      <c r="AT521" t="str">
        <f t="shared" si="434"/>
        <v>1,51280496357484i</v>
      </c>
      <c r="AU521">
        <f t="shared" si="458"/>
        <v>1.51280496357484</v>
      </c>
      <c r="AV521">
        <f t="shared" si="459"/>
        <v>1.5707963267949</v>
      </c>
      <c r="AW521" t="str">
        <f t="shared" si="435"/>
        <v>1+77,4528393758255i</v>
      </c>
      <c r="AX521">
        <f t="shared" si="460"/>
        <v>77.4592946480758</v>
      </c>
      <c r="AY521">
        <f t="shared" si="461"/>
        <v>1.55788596161959</v>
      </c>
      <c r="AZ521" t="str">
        <f t="shared" si="436"/>
        <v>1+3702,90489526552i</v>
      </c>
      <c r="BA521">
        <f t="shared" si="462"/>
        <v>3702.90503029464</v>
      </c>
      <c r="BB521">
        <f t="shared" si="463"/>
        <v>1.57052626855576</v>
      </c>
      <c r="BC521" s="30" t="str">
        <f t="shared" si="464"/>
        <v>-0,0000402215316098945+0,00318183645593312i</v>
      </c>
      <c r="BD521" s="32">
        <f t="shared" si="465"/>
        <v>-49.9457490079562</v>
      </c>
      <c r="BE521" s="31">
        <f t="shared" si="466"/>
        <v>90.7242362391928</v>
      </c>
      <c r="BF521" s="30" t="str">
        <f t="shared" si="467"/>
        <v>-0,00272868827859383-0,00598621722603741i</v>
      </c>
      <c r="BG521" s="68">
        <f t="shared" si="468"/>
        <v>-43.6370736542227</v>
      </c>
      <c r="BH521" s="31">
        <f t="shared" si="469"/>
        <v>-114.504849444614</v>
      </c>
      <c r="BI521" s="30" t="str">
        <f t="shared" si="476"/>
        <v>0,126834960884724+0,0122960889545581i</v>
      </c>
      <c r="BJ521" s="68">
        <f t="shared" si="470"/>
        <v>-17.8945940974966</v>
      </c>
      <c r="BK521" s="31">
        <f t="shared" si="477"/>
        <v>5.5372686492665</v>
      </c>
      <c r="BL521" s="32">
        <f t="shared" si="471"/>
        <v>-43.6370736542227</v>
      </c>
      <c r="BM521" s="31">
        <f t="shared" si="472"/>
        <v>-114.504849444614</v>
      </c>
      <c r="BO521">
        <f t="shared" si="473"/>
        <v>0</v>
      </c>
      <c r="BP521">
        <f t="shared" si="474"/>
        <v>0</v>
      </c>
    </row>
    <row r="522" spans="14:68">
      <c r="N522" s="7">
        <v>4</v>
      </c>
      <c r="O522" s="18">
        <f t="shared" si="478"/>
        <v>1096478.19614319</v>
      </c>
      <c r="P522" s="86" t="str">
        <f t="shared" si="425"/>
        <v>75</v>
      </c>
      <c r="Q522" s="4" t="str">
        <f t="shared" si="426"/>
        <v>1+11252,6469630278i</v>
      </c>
      <c r="R522" s="4">
        <f t="shared" si="437"/>
        <v>11252.6470074618</v>
      </c>
      <c r="S522" s="4">
        <f t="shared" si="438"/>
        <v>1.5707074588156</v>
      </c>
      <c r="T522" s="4" t="str">
        <f t="shared" si="427"/>
        <v>1+108,025410845067i</v>
      </c>
      <c r="U522" s="4">
        <f t="shared" si="439"/>
        <v>108.030039286513</v>
      </c>
      <c r="V522" s="4">
        <f t="shared" si="440"/>
        <v>1.56153951000403</v>
      </c>
      <c r="W522" t="str">
        <f t="shared" si="428"/>
        <v>1-56,6651150638185i</v>
      </c>
      <c r="X522" s="4">
        <f t="shared" si="441"/>
        <v>56.6739381479335</v>
      </c>
      <c r="Y522" s="4">
        <f t="shared" si="442"/>
        <v>-1.55315061644286</v>
      </c>
      <c r="Z522" t="str">
        <f t="shared" si="429"/>
        <v>-8,8144035478974+17,7816192596517i</v>
      </c>
      <c r="AA522" s="4">
        <f t="shared" si="443"/>
        <v>19.8464025304437</v>
      </c>
      <c r="AB522" s="4">
        <f t="shared" si="444"/>
        <v>2.03100050003029</v>
      </c>
      <c r="AC522" s="67" t="str">
        <f t="shared" si="445"/>
        <v>-1,84989860022103+0,897545089654139i</v>
      </c>
      <c r="AD522" s="68">
        <f t="shared" si="446"/>
        <v>6.26105396612718</v>
      </c>
      <c r="AE522" s="31">
        <f t="shared" si="447"/>
        <v>154.117983115292</v>
      </c>
      <c r="AF522" s="32" t="str">
        <f t="shared" si="448"/>
        <v>249,914648392112</v>
      </c>
      <c r="AG522" s="32" t="str">
        <f t="shared" si="430"/>
        <v>1+7233,84447623215i</v>
      </c>
      <c r="AH522" s="32">
        <f t="shared" si="449"/>
        <v>7233.84454535169</v>
      </c>
      <c r="AI522" s="32">
        <f t="shared" si="450"/>
        <v>1.5706580877165</v>
      </c>
      <c r="AJ522" s="32" t="str">
        <f t="shared" si="431"/>
        <v>1+108,025410845067i</v>
      </c>
      <c r="AK522" s="32">
        <f t="shared" si="451"/>
        <v>108.030039286513</v>
      </c>
      <c r="AL522" s="32">
        <f t="shared" si="452"/>
        <v>1.56153951000403</v>
      </c>
      <c r="AM522" s="32" t="str">
        <f t="shared" si="432"/>
        <v>1-10,9318939807187i</v>
      </c>
      <c r="AN522" s="32">
        <f t="shared" si="453"/>
        <v>10.97753642698</v>
      </c>
      <c r="AO522" s="32">
        <f t="shared" si="454"/>
        <v>-1.47957474438768</v>
      </c>
      <c r="AP522" s="30" t="str">
        <f t="shared" si="455"/>
        <v>3,36002864897481-40,8325540610279i</v>
      </c>
      <c r="AQ522" s="32">
        <f t="shared" si="456"/>
        <v>32.2494392356716</v>
      </c>
      <c r="AR522" s="31">
        <f t="shared" si="457"/>
        <v>-85.2958443456489</v>
      </c>
      <c r="AS522" t="str">
        <f t="shared" si="433"/>
        <v>-0,000100699300699301</v>
      </c>
      <c r="AT522" t="str">
        <f t="shared" si="434"/>
        <v>1,54804271791368i</v>
      </c>
      <c r="AU522">
        <f t="shared" si="458"/>
        <v>1.54804271791368</v>
      </c>
      <c r="AV522">
        <f t="shared" si="459"/>
        <v>1.5707963267949</v>
      </c>
      <c r="AW522" t="str">
        <f t="shared" si="435"/>
        <v>1+79,2569477655292i</v>
      </c>
      <c r="AX522">
        <f t="shared" si="460"/>
        <v>79.2632561096743</v>
      </c>
      <c r="AY522">
        <f t="shared" si="461"/>
        <v>1.55817980586189</v>
      </c>
      <c r="AZ522" t="str">
        <f t="shared" si="436"/>
        <v>1+3789,15663040731i</v>
      </c>
      <c r="BA522">
        <f t="shared" si="462"/>
        <v>3789.15676236279</v>
      </c>
      <c r="BB522">
        <f t="shared" si="463"/>
        <v>1.5705324158315</v>
      </c>
      <c r="BC522" s="30" t="str">
        <f t="shared" si="464"/>
        <v>-0,0000384115526227544+0,00310943185258147i</v>
      </c>
      <c r="BD522" s="32">
        <f t="shared" si="465"/>
        <v>-50.1457164443238</v>
      </c>
      <c r="BE522" s="31">
        <f t="shared" si="466"/>
        <v>90.7077524172301</v>
      </c>
      <c r="BF522" s="30" t="str">
        <f t="shared" si="467"/>
        <v>-0,00271979781346952-0,00578660973201569i</v>
      </c>
      <c r="BG522" s="68">
        <f t="shared" si="468"/>
        <v>-43.8846624781967</v>
      </c>
      <c r="BH522" s="31">
        <f t="shared" si="469"/>
        <v>-115.174264467478</v>
      </c>
      <c r="BI522" s="30" t="str">
        <f t="shared" si="476"/>
        <v>0,126836980302351+0,0120162219057452i</v>
      </c>
      <c r="BJ522" s="68">
        <f t="shared" si="470"/>
        <v>-17.8962772086523</v>
      </c>
      <c r="BK522" s="31">
        <f t="shared" si="477"/>
        <v>5.41190807158122</v>
      </c>
      <c r="BL522" s="32">
        <f t="shared" si="471"/>
        <v>-43.8846624781967</v>
      </c>
      <c r="BM522" s="31">
        <f t="shared" si="472"/>
        <v>-115.174264467478</v>
      </c>
      <c r="BO522">
        <f t="shared" si="473"/>
        <v>0</v>
      </c>
      <c r="BP522">
        <f t="shared" si="474"/>
        <v>0</v>
      </c>
    </row>
    <row r="523" spans="14:68">
      <c r="N523" s="7">
        <v>5</v>
      </c>
      <c r="O523" s="18">
        <f t="shared" si="478"/>
        <v>1122018.45430196</v>
      </c>
      <c r="P523" s="86" t="str">
        <f t="shared" si="425"/>
        <v>75</v>
      </c>
      <c r="Q523" s="4" t="str">
        <f t="shared" si="426"/>
        <v>1+11514,7547818756i</v>
      </c>
      <c r="R523" s="4">
        <f t="shared" si="437"/>
        <v>11514.7548252981</v>
      </c>
      <c r="S523" s="4">
        <f t="shared" si="438"/>
        <v>1.57070948169776</v>
      </c>
      <c r="T523" s="4" t="str">
        <f t="shared" si="427"/>
        <v>1+110,541645906006i</v>
      </c>
      <c r="U523" s="4">
        <f t="shared" si="439"/>
        <v>110.546168995623</v>
      </c>
      <c r="V523" s="4">
        <f t="shared" si="440"/>
        <v>1.56175020925032</v>
      </c>
      <c r="W523" t="str">
        <f t="shared" si="428"/>
        <v>1-57,9850151515877i</v>
      </c>
      <c r="X523" s="4">
        <f t="shared" si="441"/>
        <v>57.993637427996</v>
      </c>
      <c r="Y523" s="4">
        <f t="shared" si="442"/>
        <v>-1.5535522013003</v>
      </c>
      <c r="Z523" t="str">
        <f t="shared" si="429"/>
        <v>-9,2769421370952+18,1958063798059i</v>
      </c>
      <c r="AA523" s="4">
        <f t="shared" si="443"/>
        <v>20.4242264290817</v>
      </c>
      <c r="AB523" s="4">
        <f t="shared" si="444"/>
        <v>2.04228457269524</v>
      </c>
      <c r="AC523" s="67" t="str">
        <f t="shared" si="445"/>
        <v>-1,82905345210723+0,913511332666035i</v>
      </c>
      <c r="AD523" s="68">
        <f t="shared" si="446"/>
        <v>6.2116999438957</v>
      </c>
      <c r="AE523" s="31">
        <f t="shared" si="447"/>
        <v>153.460400533372</v>
      </c>
      <c r="AF523" s="32" t="str">
        <f t="shared" si="448"/>
        <v>249,914648392112</v>
      </c>
      <c r="AG523" s="32" t="str">
        <f t="shared" si="430"/>
        <v>1+7402,34235977715i</v>
      </c>
      <c r="AH523" s="32">
        <f t="shared" si="449"/>
        <v>7402.34242732334</v>
      </c>
      <c r="AI523" s="32">
        <f t="shared" si="450"/>
        <v>1.57066123442206</v>
      </c>
      <c r="AJ523" s="32" t="str">
        <f t="shared" si="431"/>
        <v>1+110,541645906006i</v>
      </c>
      <c r="AK523" s="32">
        <f t="shared" si="451"/>
        <v>110.546168995623</v>
      </c>
      <c r="AL523" s="32">
        <f t="shared" si="452"/>
        <v>1.56175020925032</v>
      </c>
      <c r="AM523" s="32" t="str">
        <f t="shared" si="432"/>
        <v>1-11,1865305028256i</v>
      </c>
      <c r="AN523" s="32">
        <f t="shared" si="453"/>
        <v>11.2311381743191</v>
      </c>
      <c r="AO523" s="32">
        <f t="shared" si="454"/>
        <v>-1.48164008814113</v>
      </c>
      <c r="AP523" s="30" t="str">
        <f t="shared" si="455"/>
        <v>3,36002843691477-41,7820966864759i</v>
      </c>
      <c r="AQ523" s="32">
        <f t="shared" si="456"/>
        <v>32.4478001588297</v>
      </c>
      <c r="AR523" s="31">
        <f t="shared" si="457"/>
        <v>-85.4022879413538</v>
      </c>
      <c r="AS523" t="str">
        <f t="shared" si="433"/>
        <v>-0,000100699300699301</v>
      </c>
      <c r="AT523" t="str">
        <f t="shared" si="434"/>
        <v>1,58410126499231i</v>
      </c>
      <c r="AU523">
        <f t="shared" si="458"/>
        <v>1.58410126499231</v>
      </c>
      <c r="AV523">
        <f t="shared" si="459"/>
        <v>1.5707963267949</v>
      </c>
      <c r="AW523" t="str">
        <f t="shared" si="435"/>
        <v>1+81,1030792380272i</v>
      </c>
      <c r="AX523">
        <f t="shared" si="460"/>
        <v>81.1092439977696</v>
      </c>
      <c r="AY523">
        <f t="shared" si="461"/>
        <v>1.55846696349803</v>
      </c>
      <c r="AZ523" t="str">
        <f t="shared" si="436"/>
        <v>1+3877,41742654993i</v>
      </c>
      <c r="BA523">
        <f t="shared" si="462"/>
        <v>3877.41755550174</v>
      </c>
      <c r="BB523">
        <f t="shared" si="463"/>
        <v>1.57053842317818</v>
      </c>
      <c r="BC523" s="30" t="str">
        <f t="shared" si="464"/>
        <v>-0,000036683010760113+0,00303867385526877i</v>
      </c>
      <c r="BD523" s="32">
        <f t="shared" si="465"/>
        <v>-50.3456853460682</v>
      </c>
      <c r="BE523" s="31">
        <f t="shared" si="466"/>
        <v>90.6916436922348</v>
      </c>
      <c r="BF523" s="30" t="str">
        <f t="shared" si="467"/>
        <v>-0,00270876781559954-0,005591407250853i</v>
      </c>
      <c r="BG523" s="68">
        <f t="shared" si="468"/>
        <v>-44.1339854021725</v>
      </c>
      <c r="BH523" s="31">
        <f t="shared" si="469"/>
        <v>-115.847955774393</v>
      </c>
      <c r="BI523" s="30" t="str">
        <f t="shared" si="476"/>
        <v>0,126838908860201+0,0117427236665426i</v>
      </c>
      <c r="BJ523" s="68">
        <f t="shared" si="470"/>
        <v>-17.8978851872384</v>
      </c>
      <c r="BK523" s="31">
        <f t="shared" si="477"/>
        <v>5.28935575088098</v>
      </c>
      <c r="BL523" s="32">
        <f t="shared" si="471"/>
        <v>-44.1339854021725</v>
      </c>
      <c r="BM523" s="31">
        <f t="shared" si="472"/>
        <v>-115.847955774393</v>
      </c>
      <c r="BO523">
        <f t="shared" si="473"/>
        <v>0</v>
      </c>
      <c r="BP523">
        <f t="shared" si="474"/>
        <v>0</v>
      </c>
    </row>
    <row r="524" spans="14:68">
      <c r="N524" s="7">
        <v>6</v>
      </c>
      <c r="O524" s="18">
        <f t="shared" si="478"/>
        <v>1148153.62149688</v>
      </c>
      <c r="P524" s="86" t="str">
        <f t="shared" si="425"/>
        <v>75</v>
      </c>
      <c r="Q524" s="4" t="str">
        <f t="shared" si="426"/>
        <v>1+11782,9678761246i</v>
      </c>
      <c r="R524" s="4">
        <f t="shared" si="437"/>
        <v>11782.9679185587</v>
      </c>
      <c r="S524" s="4">
        <f t="shared" si="438"/>
        <v>1.57071145853351</v>
      </c>
      <c r="T524" s="4" t="str">
        <f t="shared" si="427"/>
        <v>1+113,116491610796i</v>
      </c>
      <c r="U524" s="4">
        <f t="shared" si="439"/>
        <v>113.120911746393</v>
      </c>
      <c r="V524" s="4">
        <f t="shared" si="440"/>
        <v>1.56195611317235</v>
      </c>
      <c r="W524" t="str">
        <f t="shared" si="428"/>
        <v>1-59,335659661913i</v>
      </c>
      <c r="X524" s="4">
        <f t="shared" si="441"/>
        <v>59.3440856995402</v>
      </c>
      <c r="Y524" s="4">
        <f t="shared" si="442"/>
        <v>-1.55394465034538</v>
      </c>
      <c r="Z524" t="str">
        <f t="shared" si="429"/>
        <v>-9,7612794984197+18,6196411573529i</v>
      </c>
      <c r="AA524" s="4">
        <f t="shared" si="443"/>
        <v>21.0231685117838</v>
      </c>
      <c r="AB524" s="4">
        <f t="shared" si="444"/>
        <v>2.05365236126948</v>
      </c>
      <c r="AC524" s="67" t="str">
        <f t="shared" si="445"/>
        <v>-1,8077032046724+0,929102145644882i</v>
      </c>
      <c r="AD524" s="68">
        <f t="shared" si="446"/>
        <v>6.16057473489595</v>
      </c>
      <c r="AE524" s="31">
        <f t="shared" si="447"/>
        <v>152.798272713086</v>
      </c>
      <c r="AF524" s="32" t="str">
        <f t="shared" si="448"/>
        <v>249,914648392112</v>
      </c>
      <c r="AG524" s="32" t="str">
        <f t="shared" si="430"/>
        <v>1+7574,76506322294i</v>
      </c>
      <c r="AH524" s="32">
        <f t="shared" si="449"/>
        <v>7574.76512923159</v>
      </c>
      <c r="AI524" s="32">
        <f t="shared" si="450"/>
        <v>1.57066430949986</v>
      </c>
      <c r="AJ524" s="32" t="str">
        <f t="shared" si="431"/>
        <v>1+113,116491610796i</v>
      </c>
      <c r="AK524" s="32">
        <f t="shared" si="451"/>
        <v>113.120911746393</v>
      </c>
      <c r="AL524" s="32">
        <f t="shared" si="452"/>
        <v>1.56195611317235</v>
      </c>
      <c r="AM524" s="32" t="str">
        <f t="shared" si="432"/>
        <v>1-11,4470982714763i</v>
      </c>
      <c r="AN524" s="32">
        <f t="shared" si="453"/>
        <v>11.4906944453691</v>
      </c>
      <c r="AO524" s="32">
        <f t="shared" si="454"/>
        <v>-1.48365915612574</v>
      </c>
      <c r="AP524" s="30" t="str">
        <f t="shared" si="455"/>
        <v>3,36002823439898-42,7537927326356i</v>
      </c>
      <c r="AQ524" s="32">
        <f t="shared" si="456"/>
        <v>32.6462342866011</v>
      </c>
      <c r="AR524" s="31">
        <f t="shared" si="457"/>
        <v>-85.5063507786837</v>
      </c>
      <c r="AS524" t="str">
        <f t="shared" si="433"/>
        <v>-0,000100699300699301</v>
      </c>
      <c r="AT524" t="str">
        <f t="shared" si="434"/>
        <v>1,62099972352971i</v>
      </c>
      <c r="AU524">
        <f t="shared" si="458"/>
        <v>1.62099972352971</v>
      </c>
      <c r="AV524">
        <f t="shared" si="459"/>
        <v>1.5707963267949</v>
      </c>
      <c r="AW524" t="str">
        <f t="shared" si="435"/>
        <v>1+82,992212636664i</v>
      </c>
      <c r="AX524">
        <f t="shared" si="460"/>
        <v>82.9982370796468</v>
      </c>
      <c r="AY524">
        <f t="shared" si="461"/>
        <v>1.55874758659326</v>
      </c>
      <c r="AZ524" t="str">
        <f t="shared" si="436"/>
        <v>1+3967,73408073582i</v>
      </c>
      <c r="BA524">
        <f t="shared" si="462"/>
        <v>3967.73420675233</v>
      </c>
      <c r="BB524">
        <f t="shared" si="463"/>
        <v>1.57054429378097</v>
      </c>
      <c r="BC524" s="30" t="str">
        <f t="shared" si="464"/>
        <v>-0,0000350322429775398+0,0029695250843486i</v>
      </c>
      <c r="BD524" s="32">
        <f t="shared" si="465"/>
        <v>-50.5456556472566</v>
      </c>
      <c r="BE524" s="31">
        <f t="shared" si="466"/>
        <v>90.6759015340075</v>
      </c>
      <c r="BF524" s="30" t="str">
        <f t="shared" si="467"/>
        <v>-0,00269566422951722-0,00540056854344923i</v>
      </c>
      <c r="BG524" s="68">
        <f t="shared" si="468"/>
        <v>-44.3850809123606</v>
      </c>
      <c r="BH524" s="31">
        <f t="shared" si="469"/>
        <v>-116.525825752906</v>
      </c>
      <c r="BI524" s="30" t="str">
        <f t="shared" si="476"/>
        <v>0,126840750645083+0,0114754493813884i</v>
      </c>
      <c r="BJ524" s="68">
        <f t="shared" si="470"/>
        <v>-17.8994213606555</v>
      </c>
      <c r="BK524" s="31">
        <f t="shared" si="477"/>
        <v>5.16955075532379</v>
      </c>
      <c r="BL524" s="32">
        <f t="shared" si="471"/>
        <v>-44.3850809123606</v>
      </c>
      <c r="BM524" s="31">
        <f t="shared" si="472"/>
        <v>-116.525825752906</v>
      </c>
      <c r="BO524">
        <f t="shared" si="473"/>
        <v>0</v>
      </c>
      <c r="BP524">
        <f t="shared" si="474"/>
        <v>0</v>
      </c>
    </row>
    <row r="525" spans="14:68">
      <c r="N525" s="7">
        <v>7</v>
      </c>
      <c r="O525" s="18">
        <f t="shared" si="478"/>
        <v>1174897.55493953</v>
      </c>
      <c r="P525" s="86" t="str">
        <f t="shared" si="425"/>
        <v>75</v>
      </c>
      <c r="Q525" s="4" t="str">
        <f t="shared" si="426"/>
        <v>1+12057,4284559076i</v>
      </c>
      <c r="R525" s="4">
        <f t="shared" si="437"/>
        <v>12057.4284973758</v>
      </c>
      <c r="S525" s="4">
        <f t="shared" si="438"/>
        <v>1.57071339037098</v>
      </c>
      <c r="T525" s="4" t="str">
        <f t="shared" si="427"/>
        <v>1+115,751313176713i</v>
      </c>
      <c r="U525" s="4">
        <f t="shared" si="439"/>
        <v>115.755632701539</v>
      </c>
      <c r="V525" s="4">
        <f t="shared" si="440"/>
        <v>1.56215733087325</v>
      </c>
      <c r="W525" t="str">
        <f t="shared" si="428"/>
        <v>1-60,7177647243916i</v>
      </c>
      <c r="X525" s="4">
        <f t="shared" si="441"/>
        <v>60.7259989882964</v>
      </c>
      <c r="Y525" s="4">
        <f t="shared" si="442"/>
        <v>-1.55432817117595</v>
      </c>
      <c r="Z525" t="str">
        <f t="shared" si="429"/>
        <v>-10,2684429763502+19,0533483151016i</v>
      </c>
      <c r="AA525" s="4">
        <f t="shared" si="443"/>
        <v>21.6441909799175</v>
      </c>
      <c r="AB525" s="4">
        <f t="shared" si="444"/>
        <v>2.06510168333787</v>
      </c>
      <c r="AC525" s="67" t="str">
        <f t="shared" si="445"/>
        <v>-1,78585557320034+0,94429641255144i</v>
      </c>
      <c r="AD525" s="68">
        <f t="shared" si="446"/>
        <v>6.10764024019894</v>
      </c>
      <c r="AE525" s="31">
        <f t="shared" si="447"/>
        <v>152.131718994225</v>
      </c>
      <c r="AF525" s="32" t="str">
        <f t="shared" si="448"/>
        <v>249,914648392112</v>
      </c>
      <c r="AG525" s="32" t="str">
        <f t="shared" si="430"/>
        <v>1+7751,20400736914i</v>
      </c>
      <c r="AH525" s="32">
        <f t="shared" si="449"/>
        <v>7751.20407187525</v>
      </c>
      <c r="AI525" s="32">
        <f t="shared" si="450"/>
        <v>1.57066731458034</v>
      </c>
      <c r="AJ525" s="32" t="str">
        <f t="shared" si="431"/>
        <v>1+115,751313176713i</v>
      </c>
      <c r="AK525" s="32">
        <f t="shared" si="451"/>
        <v>115.755632701539</v>
      </c>
      <c r="AL525" s="32">
        <f t="shared" si="452"/>
        <v>1.56215733087325</v>
      </c>
      <c r="AM525" s="32" t="str">
        <f t="shared" si="432"/>
        <v>1-11,7137354431509i</v>
      </c>
      <c r="AN525" s="32">
        <f t="shared" si="453"/>
        <v>11.7563428851038</v>
      </c>
      <c r="AO525" s="32">
        <f t="shared" si="454"/>
        <v>-1.48563295299357</v>
      </c>
      <c r="AP525" s="30" t="str">
        <f t="shared" si="455"/>
        <v>3,36002804099793-43,7481574056137i</v>
      </c>
      <c r="AQ525" s="32">
        <f t="shared" si="456"/>
        <v>32.8447383736683</v>
      </c>
      <c r="AR525" s="31">
        <f t="shared" si="457"/>
        <v>-85.608084262231</v>
      </c>
      <c r="AS525" t="str">
        <f t="shared" si="433"/>
        <v>-0,000100699300699301</v>
      </c>
      <c r="AT525" t="str">
        <f t="shared" si="434"/>
        <v>1,658757657577i</v>
      </c>
      <c r="AU525">
        <f t="shared" si="458"/>
        <v>1.658757657577</v>
      </c>
      <c r="AV525">
        <f t="shared" si="459"/>
        <v>1.5707963267949</v>
      </c>
      <c r="AW525" t="str">
        <f t="shared" si="435"/>
        <v>1+84,9253496049728i</v>
      </c>
      <c r="AX525">
        <f t="shared" si="460"/>
        <v>84.9312369245077</v>
      </c>
      <c r="AY525">
        <f t="shared" si="461"/>
        <v>1.55902182376076</v>
      </c>
      <c r="AZ525" t="str">
        <f t="shared" si="436"/>
        <v>1+4060,1544800505i</v>
      </c>
      <c r="BA525">
        <f t="shared" si="462"/>
        <v>4060.15460319852</v>
      </c>
      <c r="BB525">
        <f t="shared" si="463"/>
        <v>1.57055003075254</v>
      </c>
      <c r="BC525" s="30" t="str">
        <f t="shared" si="464"/>
        <v>-0,0000334557508986163+0,00290194900425603i</v>
      </c>
      <c r="BD525" s="32">
        <f t="shared" si="465"/>
        <v>-50.745627284922</v>
      </c>
      <c r="BE525" s="31">
        <f t="shared" si="466"/>
        <v>90.6605176059825</v>
      </c>
      <c r="BF525" s="30" t="str">
        <f t="shared" si="467"/>
        <v>-0,0026805528949283-0,00521405394794659i</v>
      </c>
      <c r="BG525" s="68">
        <f t="shared" si="468"/>
        <v>-44.637987044723</v>
      </c>
      <c r="BH525" s="31">
        <f t="shared" si="469"/>
        <v>-117.207763399792</v>
      </c>
      <c r="BI525" s="30" t="str">
        <f t="shared" si="476"/>
        <v>0,126842509560105+0,0112142574842819i</v>
      </c>
      <c r="BJ525" s="68">
        <f t="shared" si="470"/>
        <v>-17.9008889112536</v>
      </c>
      <c r="BK525" s="31">
        <f t="shared" si="477"/>
        <v>5.05243334375148</v>
      </c>
      <c r="BL525" s="32">
        <f t="shared" si="471"/>
        <v>-44.637987044723</v>
      </c>
      <c r="BM525" s="31">
        <f t="shared" si="472"/>
        <v>-117.207763399792</v>
      </c>
      <c r="BO525">
        <f t="shared" si="473"/>
        <v>0</v>
      </c>
      <c r="BP525">
        <f t="shared" si="474"/>
        <v>0</v>
      </c>
    </row>
    <row r="526" spans="14:68">
      <c r="N526" s="7">
        <v>8</v>
      </c>
      <c r="O526" s="18">
        <f t="shared" si="478"/>
        <v>1202264.43461742</v>
      </c>
      <c r="P526" s="86" t="str">
        <f t="shared" si="425"/>
        <v>75</v>
      </c>
      <c r="Q526" s="4" t="str">
        <f t="shared" si="426"/>
        <v>1+12338,2820438568i</v>
      </c>
      <c r="R526" s="4">
        <f t="shared" si="437"/>
        <v>12338.2820843811</v>
      </c>
      <c r="S526" s="4">
        <f t="shared" si="438"/>
        <v>1.57071527823447</v>
      </c>
      <c r="T526" s="4" t="str">
        <f t="shared" si="427"/>
        <v>1+118,447507621026i</v>
      </c>
      <c r="U526" s="4">
        <f t="shared" si="439"/>
        <v>118.451728825007</v>
      </c>
      <c r="V526" s="4">
        <f t="shared" si="440"/>
        <v>1.56235396897607</v>
      </c>
      <c r="W526" t="str">
        <f t="shared" si="428"/>
        <v>1-62,1320631494219i</v>
      </c>
      <c r="X526" s="4">
        <f t="shared" si="441"/>
        <v>62.1401100031514</v>
      </c>
      <c r="Y526" s="4">
        <f t="shared" si="442"/>
        <v>-1.5547029666883</v>
      </c>
      <c r="Z526" t="str">
        <f t="shared" si="429"/>
        <v>-10,79950833262+19,4971578103278i</v>
      </c>
      <c r="AA526" s="4">
        <f t="shared" si="443"/>
        <v>22.2883050703088</v>
      </c>
      <c r="AB526" s="4">
        <f t="shared" si="444"/>
        <v>2.07663012807991</v>
      </c>
      <c r="AC526" s="67" t="str">
        <f t="shared" si="445"/>
        <v>-1,76351958562461+0,959072958651269i</v>
      </c>
      <c r="AD526" s="68">
        <f t="shared" si="446"/>
        <v>6.05285892458948</v>
      </c>
      <c r="AE526" s="31">
        <f t="shared" si="447"/>
        <v>151.460871931892</v>
      </c>
      <c r="AF526" s="32" t="str">
        <f t="shared" si="448"/>
        <v>249,914648392112</v>
      </c>
      <c r="AG526" s="32" t="str">
        <f t="shared" si="430"/>
        <v>1+7931,75274247938i</v>
      </c>
      <c r="AH526" s="32">
        <f t="shared" si="449"/>
        <v>7931.75280551715</v>
      </c>
      <c r="AI526" s="32">
        <f t="shared" si="450"/>
        <v>1.57067025125684</v>
      </c>
      <c r="AJ526" s="32" t="str">
        <f t="shared" si="431"/>
        <v>1+118,447507621026i</v>
      </c>
      <c r="AK526" s="32">
        <f t="shared" si="451"/>
        <v>118.451728825007</v>
      </c>
      <c r="AL526" s="32">
        <f t="shared" si="452"/>
        <v>1.56235396897607</v>
      </c>
      <c r="AM526" s="32" t="str">
        <f t="shared" si="432"/>
        <v>1-11,986583392407i</v>
      </c>
      <c r="AN526" s="32">
        <f t="shared" si="453"/>
        <v>12.0282243670098</v>
      </c>
      <c r="AO526" s="32">
        <f t="shared" si="454"/>
        <v>-1.48756246372639</v>
      </c>
      <c r="AP526" s="30" t="str">
        <f t="shared" si="455"/>
        <v>3,36002785630135-44,7657179307209i</v>
      </c>
      <c r="AQ526" s="32">
        <f t="shared" si="456"/>
        <v>33.0433093164746</v>
      </c>
      <c r="AR526" s="31">
        <f t="shared" si="457"/>
        <v>-85.707538809533</v>
      </c>
      <c r="AS526" t="str">
        <f t="shared" si="433"/>
        <v>-0,000100699300699301</v>
      </c>
      <c r="AT526" t="str">
        <f t="shared" si="434"/>
        <v>1,69739508689059i</v>
      </c>
      <c r="AU526">
        <f t="shared" si="458"/>
        <v>1.69739508689059</v>
      </c>
      <c r="AV526">
        <f t="shared" si="459"/>
        <v>1.5707963267949</v>
      </c>
      <c r="AW526" t="str">
        <f t="shared" si="435"/>
        <v>1+86,9035151177622i</v>
      </c>
      <c r="AX526">
        <f t="shared" si="460"/>
        <v>86.9092684345181</v>
      </c>
      <c r="AY526">
        <f t="shared" si="461"/>
        <v>1.55928982023962</v>
      </c>
      <c r="AZ526" t="str">
        <f t="shared" si="436"/>
        <v>1+4154,72762701301i</v>
      </c>
      <c r="BA526">
        <f t="shared" si="462"/>
        <v>4154.72774735784</v>
      </c>
      <c r="BB526">
        <f t="shared" si="463"/>
        <v>1.57055563713472</v>
      </c>
      <c r="BC526" s="30" t="str">
        <f t="shared" si="464"/>
        <v>-0,0000319501934209019+0,0028359099047462i</v>
      </c>
      <c r="BD526" s="32">
        <f t="shared" si="465"/>
        <v>-50.9456001989297</v>
      </c>
      <c r="BE526" s="31">
        <f t="shared" si="466"/>
        <v>90.6454837608564</v>
      </c>
      <c r="BF526" s="30" t="str">
        <f t="shared" si="467"/>
        <v>-0,00266349971095112-0,00503182522662041i</v>
      </c>
      <c r="BG526" s="68">
        <f t="shared" si="468"/>
        <v>-44.8927412743402</v>
      </c>
      <c r="BH526" s="31">
        <f t="shared" si="469"/>
        <v>-117.893644307252</v>
      </c>
      <c r="BI526" s="30" t="str">
        <f t="shared" si="476"/>
        <v>0,126844189332898+0,0109590096244202i</v>
      </c>
      <c r="BJ526" s="68">
        <f t="shared" si="470"/>
        <v>-17.902290882455</v>
      </c>
      <c r="BK526" s="31">
        <f t="shared" si="477"/>
        <v>4.93794495132337</v>
      </c>
      <c r="BL526" s="32">
        <f t="shared" si="471"/>
        <v>-44.8927412743402</v>
      </c>
      <c r="BM526" s="31">
        <f t="shared" si="472"/>
        <v>-117.893644307252</v>
      </c>
      <c r="BO526">
        <f t="shared" si="473"/>
        <v>0</v>
      </c>
      <c r="BP526">
        <f t="shared" si="474"/>
        <v>0</v>
      </c>
    </row>
    <row r="527" spans="14:68">
      <c r="N527" s="7">
        <v>9</v>
      </c>
      <c r="O527" s="18">
        <f t="shared" si="478"/>
        <v>1230268.77081238</v>
      </c>
      <c r="P527" s="86" t="str">
        <f t="shared" si="425"/>
        <v>75</v>
      </c>
      <c r="Q527" s="4" t="str">
        <f t="shared" si="426"/>
        <v>1+12625,6775522621i</v>
      </c>
      <c r="R527" s="4">
        <f t="shared" si="437"/>
        <v>12625.6775918639</v>
      </c>
      <c r="S527" s="4">
        <f t="shared" si="438"/>
        <v>1.57071712312493</v>
      </c>
      <c r="T527" s="4" t="str">
        <f t="shared" si="427"/>
        <v>1+121,206504501716i</v>
      </c>
      <c r="U527" s="4">
        <f t="shared" si="439"/>
        <v>121.210629622672</v>
      </c>
      <c r="V527" s="4">
        <f t="shared" si="440"/>
        <v>1.56254613168008</v>
      </c>
      <c r="W527" t="str">
        <f t="shared" si="428"/>
        <v>1-63,5793048167482i</v>
      </c>
      <c r="X527" s="4">
        <f t="shared" si="441"/>
        <v>63.5871685246401</v>
      </c>
      <c r="Y527" s="4">
        <f t="shared" si="442"/>
        <v>-1.55506923518253</v>
      </c>
      <c r="Z527" t="str">
        <f t="shared" si="429"/>
        <v>-11,3556020280507+19,9513049567003i</v>
      </c>
      <c r="AA527" s="4">
        <f t="shared" si="443"/>
        <v>22.9565735007366</v>
      </c>
      <c r="AB527" s="4">
        <f t="shared" si="444"/>
        <v>2.0882350567254</v>
      </c>
      <c r="AC527" s="67" t="str">
        <f t="shared" si="445"/>
        <v>-1,74070561115566+0,973410641521859i</v>
      </c>
      <c r="AD527" s="68">
        <f t="shared" si="446"/>
        <v>5.99619392942409</v>
      </c>
      <c r="AE527" s="31">
        <f t="shared" si="447"/>
        <v>150.785877267549</v>
      </c>
      <c r="AF527" s="32" t="str">
        <f t="shared" si="448"/>
        <v>249,914648392112</v>
      </c>
      <c r="AG527" s="32" t="str">
        <f t="shared" si="430"/>
        <v>1+8116,50699788275i</v>
      </c>
      <c r="AH527" s="32">
        <f t="shared" si="449"/>
        <v>8116.5070594856</v>
      </c>
      <c r="AI527" s="32">
        <f t="shared" si="450"/>
        <v>1.57067312108643</v>
      </c>
      <c r="AJ527" s="32" t="str">
        <f t="shared" si="431"/>
        <v>1+121,206504501716i</v>
      </c>
      <c r="AK527" s="32">
        <f t="shared" si="451"/>
        <v>121.210629622672</v>
      </c>
      <c r="AL527" s="32">
        <f t="shared" si="452"/>
        <v>1.56254613168008</v>
      </c>
      <c r="AM527" s="32" t="str">
        <f t="shared" si="432"/>
        <v>1-12,2657867868389i</v>
      </c>
      <c r="AN527" s="32">
        <f t="shared" si="453"/>
        <v>12.3064830678871</v>
      </c>
      <c r="AO527" s="32">
        <f t="shared" si="454"/>
        <v>-1.48944865387566</v>
      </c>
      <c r="AP527" s="30" t="str">
        <f t="shared" si="455"/>
        <v>3,36002767991746-45,8070138320169i</v>
      </c>
      <c r="AQ527" s="32">
        <f t="shared" si="456"/>
        <v>33.2419441472169</v>
      </c>
      <c r="AR527" s="31">
        <f t="shared" si="457"/>
        <v>-85.8047638616484</v>
      </c>
      <c r="AS527" t="str">
        <f t="shared" si="433"/>
        <v>-0,000100699300699301</v>
      </c>
      <c r="AT527" t="str">
        <f t="shared" si="434"/>
        <v>1,73693249754691i</v>
      </c>
      <c r="AU527">
        <f t="shared" si="458"/>
        <v>1.73693249754691</v>
      </c>
      <c r="AV527">
        <f t="shared" si="459"/>
        <v>1.5707963267949</v>
      </c>
      <c r="AW527" t="str">
        <f t="shared" si="435"/>
        <v>1+88,92775802457i</v>
      </c>
      <c r="AX527">
        <f t="shared" si="460"/>
        <v>88.9333803882236</v>
      </c>
      <c r="AY527">
        <f t="shared" si="461"/>
        <v>1.55955171797104</v>
      </c>
      <c r="AZ527" t="str">
        <f t="shared" si="436"/>
        <v>1+4251,50366555763i</v>
      </c>
      <c r="BA527">
        <f t="shared" si="462"/>
        <v>4251.50378316308</v>
      </c>
      <c r="BB527">
        <f t="shared" si="463"/>
        <v>1.57056111590006</v>
      </c>
      <c r="BC527" s="30" t="str">
        <f t="shared" si="464"/>
        <v>-0,0000305123796531762+0,00277137288253009i</v>
      </c>
      <c r="BD527" s="32">
        <f t="shared" si="465"/>
        <v>-51.1455743318498</v>
      </c>
      <c r="BE527" s="31">
        <f t="shared" si="466"/>
        <v>90.6307920363132</v>
      </c>
      <c r="BF527" s="30" t="str">
        <f t="shared" si="467"/>
        <v>-0,0026445707850079-0,00485384540227732i</v>
      </c>
      <c r="BG527" s="68">
        <f t="shared" si="468"/>
        <v>-45.1493804024258</v>
      </c>
      <c r="BH527" s="31">
        <f t="shared" si="469"/>
        <v>-118.583330696138</v>
      </c>
      <c r="BI527" s="30" t="str">
        <f t="shared" si="476"/>
        <v>0,126845793523518+0,0107095705934945i</v>
      </c>
      <c r="BJ527" s="68">
        <f t="shared" si="470"/>
        <v>-17.9036301846329</v>
      </c>
      <c r="BK527" s="31">
        <f t="shared" si="477"/>
        <v>4.8260281746647</v>
      </c>
      <c r="BL527" s="32">
        <f t="shared" si="471"/>
        <v>-45.1493804024258</v>
      </c>
      <c r="BM527" s="31">
        <f t="shared" si="472"/>
        <v>-118.583330696138</v>
      </c>
      <c r="BO527">
        <f t="shared" si="473"/>
        <v>0</v>
      </c>
      <c r="BP527">
        <f t="shared" si="474"/>
        <v>0</v>
      </c>
    </row>
    <row r="528" spans="14:68">
      <c r="N528" s="7">
        <v>10</v>
      </c>
      <c r="O528" s="18">
        <f t="shared" si="478"/>
        <v>1258925.41179417</v>
      </c>
      <c r="P528" s="86" t="str">
        <f t="shared" si="425"/>
        <v>75</v>
      </c>
      <c r="Q528" s="4" t="str">
        <f t="shared" si="426"/>
        <v>1+12919,7673620262i</v>
      </c>
      <c r="R528" s="4">
        <f t="shared" si="437"/>
        <v>12919.7674007266</v>
      </c>
      <c r="S528" s="4">
        <f t="shared" si="438"/>
        <v>1.57071892602057</v>
      </c>
      <c r="T528" s="4" t="str">
        <f t="shared" si="427"/>
        <v>1+124,029766675452i</v>
      </c>
      <c r="U528" s="4">
        <f t="shared" si="439"/>
        <v>124.033797900278</v>
      </c>
      <c r="V528" s="4">
        <f t="shared" si="440"/>
        <v>1.5627339208157</v>
      </c>
      <c r="W528" t="str">
        <f t="shared" si="428"/>
        <v>1-65,0602570730607i</v>
      </c>
      <c r="X528" s="4">
        <f t="shared" si="441"/>
        <v>65.067941802494</v>
      </c>
      <c r="Y528" s="4">
        <f t="shared" si="442"/>
        <v>-1.55542717046573</v>
      </c>
      <c r="Z528" t="str">
        <f t="shared" si="429"/>
        <v>-11,9379036119276+20,4160305490478i</v>
      </c>
      <c r="AA528" s="4">
        <f t="shared" si="443"/>
        <v>23.6501130235635</v>
      </c>
      <c r="AB528" s="4">
        <f t="shared" si="444"/>
        <v>2.09991360387531</v>
      </c>
      <c r="AC528" s="67" t="str">
        <f t="shared" si="445"/>
        <v>-1,71742538200215+0,987288446326269i</v>
      </c>
      <c r="AD528" s="68">
        <f t="shared" si="446"/>
        <v>5.93760918732045</v>
      </c>
      <c r="AE528" s="31">
        <f t="shared" si="447"/>
        <v>150.106893850547</v>
      </c>
      <c r="AF528" s="32" t="str">
        <f t="shared" si="448"/>
        <v>249,914648392112</v>
      </c>
      <c r="AG528" s="32" t="str">
        <f t="shared" si="430"/>
        <v>1+8305,56473273114i</v>
      </c>
      <c r="AH528" s="32">
        <f t="shared" si="449"/>
        <v>8305.56479293174</v>
      </c>
      <c r="AI528" s="32">
        <f t="shared" si="450"/>
        <v>1.57067592559072</v>
      </c>
      <c r="AJ528" s="32" t="str">
        <f t="shared" si="431"/>
        <v>1+124,029766675452i</v>
      </c>
      <c r="AK528" s="32">
        <f t="shared" si="451"/>
        <v>124.033797900278</v>
      </c>
      <c r="AL528" s="32">
        <f t="shared" si="452"/>
        <v>1.5627339208157</v>
      </c>
      <c r="AM528" s="32" t="str">
        <f t="shared" si="432"/>
        <v>1-12,5514936637822i</v>
      </c>
      <c r="AN528" s="32">
        <f t="shared" si="453"/>
        <v>12.5912665443936</v>
      </c>
      <c r="AO528" s="32">
        <f t="shared" si="454"/>
        <v>-1.49129246981028</v>
      </c>
      <c r="AP528" s="30" t="str">
        <f t="shared" si="455"/>
        <v>3,36002751147218-46,8725972183729i</v>
      </c>
      <c r="AQ528" s="32">
        <f t="shared" si="456"/>
        <v>33.440640028076</v>
      </c>
      <c r="AR528" s="31">
        <f t="shared" si="457"/>
        <v>-85.8998078942514</v>
      </c>
      <c r="AS528" t="str">
        <f t="shared" si="433"/>
        <v>-0,000100699300699301</v>
      </c>
      <c r="AT528" t="str">
        <f t="shared" si="434"/>
        <v>1,77739085280447i</v>
      </c>
      <c r="AU528">
        <f t="shared" si="458"/>
        <v>1.77739085280447</v>
      </c>
      <c r="AV528">
        <f t="shared" si="459"/>
        <v>1.5707963267949</v>
      </c>
      <c r="AW528" t="str">
        <f t="shared" si="435"/>
        <v>1+90,9991516057813i</v>
      </c>
      <c r="AX528">
        <f t="shared" si="460"/>
        <v>91.0046459966301</v>
      </c>
      <c r="AY528">
        <f t="shared" si="461"/>
        <v>1.55980765567288</v>
      </c>
      <c r="AZ528" t="str">
        <f t="shared" si="436"/>
        <v>1+4350,53390762107i</v>
      </c>
      <c r="BA528">
        <f t="shared" si="462"/>
        <v>4350.53402254949</v>
      </c>
      <c r="BB528">
        <f t="shared" si="463"/>
        <v>1.5705664699535</v>
      </c>
      <c r="BC528" s="30" t="str">
        <f t="shared" si="464"/>
        <v>-0,0000291392621691652+0,00270830382329978i</v>
      </c>
      <c r="BD528" s="32">
        <f t="shared" si="465"/>
        <v>-51.3455496288366</v>
      </c>
      <c r="BE528" s="31">
        <f t="shared" si="466"/>
        <v>90.6164346508446</v>
      </c>
      <c r="BF528" s="30" t="str">
        <f t="shared" si="467"/>
        <v>-0,00262383256542299-0,0046800785851826i</v>
      </c>
      <c r="BG528" s="68">
        <f t="shared" si="468"/>
        <v>-45.4079404415161</v>
      </c>
      <c r="BH528" s="31">
        <f t="shared" si="469"/>
        <v>-119.276671498608</v>
      </c>
      <c r="BI528" s="30" t="str">
        <f t="shared" si="476"/>
        <v>0,126847325531958+0,0104658082546084i</v>
      </c>
      <c r="BJ528" s="68">
        <f t="shared" si="470"/>
        <v>-17.9049096007605</v>
      </c>
      <c r="BK528" s="31">
        <f t="shared" si="477"/>
        <v>4.71662675659314</v>
      </c>
      <c r="BL528" s="32">
        <f t="shared" si="471"/>
        <v>-45.4079404415161</v>
      </c>
      <c r="BM528" s="31">
        <f t="shared" si="472"/>
        <v>-119.276671498608</v>
      </c>
      <c r="BO528">
        <f t="shared" si="473"/>
        <v>0</v>
      </c>
      <c r="BP528">
        <f t="shared" si="474"/>
        <v>0</v>
      </c>
    </row>
    <row r="529" spans="14:68">
      <c r="N529" s="7">
        <v>11</v>
      </c>
      <c r="O529" s="18">
        <f t="shared" si="478"/>
        <v>1288249.55169314</v>
      </c>
      <c r="P529" s="86" t="str">
        <f t="shared" si="425"/>
        <v>75</v>
      </c>
      <c r="Q529" s="4" t="str">
        <f t="shared" si="426"/>
        <v>1+13220,7074034591i</v>
      </c>
      <c r="R529" s="4">
        <f t="shared" si="437"/>
        <v>13220.7074412786</v>
      </c>
      <c r="S529" s="4">
        <f t="shared" si="438"/>
        <v>1.57072068787728</v>
      </c>
      <c r="T529" s="4" t="str">
        <f t="shared" si="427"/>
        <v>1+126,918791073207i</v>
      </c>
      <c r="U529" s="4">
        <f t="shared" si="439"/>
        <v>126.922730539035</v>
      </c>
      <c r="V529" s="4">
        <f t="shared" si="440"/>
        <v>1.56291743589819</v>
      </c>
      <c r="W529" t="str">
        <f t="shared" si="428"/>
        <v>1-66,5757051388475i</v>
      </c>
      <c r="X529" s="4">
        <f t="shared" si="441"/>
        <v>66.583214962442</v>
      </c>
      <c r="Y529" s="4">
        <f t="shared" si="442"/>
        <v>-1.55577696195287</v>
      </c>
      <c r="Z529" t="str">
        <f t="shared" si="429"/>
        <v>-12,5476482239803+20,8915809910304i</v>
      </c>
      <c r="AA529" s="4">
        <f t="shared" si="443"/>
        <v>24.3700970916724</v>
      </c>
      <c r="AB529" s="4">
        <f t="shared" si="444"/>
        <v>2.11166267972506</v>
      </c>
      <c r="AC529" s="67" t="str">
        <f t="shared" si="445"/>
        <v>-1,69369200761178+1,00068558479533i</v>
      </c>
      <c r="AD529" s="68">
        <f t="shared" si="446"/>
        <v>5.87706953810003</v>
      </c>
      <c r="AE529" s="31">
        <f t="shared" si="447"/>
        <v>149.424093508005</v>
      </c>
      <c r="AF529" s="32" t="str">
        <f t="shared" si="448"/>
        <v>249,914648392112</v>
      </c>
      <c r="AG529" s="32" t="str">
        <f t="shared" si="430"/>
        <v>1+8499,02618793798i</v>
      </c>
      <c r="AH529" s="32">
        <f t="shared" si="449"/>
        <v>8499.02624676825</v>
      </c>
      <c r="AI529" s="32">
        <f t="shared" si="450"/>
        <v>1.5706786662567</v>
      </c>
      <c r="AJ529" s="32" t="str">
        <f t="shared" si="431"/>
        <v>1+126,918791073207i</v>
      </c>
      <c r="AK529" s="32">
        <f t="shared" si="451"/>
        <v>126.922730539035</v>
      </c>
      <c r="AL529" s="32">
        <f t="shared" si="452"/>
        <v>1.56291743589819</v>
      </c>
      <c r="AM529" s="32" t="str">
        <f t="shared" si="432"/>
        <v>1-12,8438555088046i</v>
      </c>
      <c r="AN529" s="32">
        <f t="shared" si="453"/>
        <v>12.8827258113743</v>
      </c>
      <c r="AO529" s="32">
        <f t="shared" si="454"/>
        <v>-1.49309483897118</v>
      </c>
      <c r="AP529" s="30" t="str">
        <f t="shared" si="455"/>
        <v>3,36002735060817-47,9630330762039i</v>
      </c>
      <c r="AQ529" s="32">
        <f t="shared" si="456"/>
        <v>33.6393942456772</v>
      </c>
      <c r="AR529" s="31">
        <f t="shared" si="457"/>
        <v>-85.9927184291851</v>
      </c>
      <c r="AS529" t="str">
        <f t="shared" si="433"/>
        <v>-0,000100699300699301</v>
      </c>
      <c r="AT529" t="str">
        <f t="shared" si="434"/>
        <v>1,81879160421873i</v>
      </c>
      <c r="AU529">
        <f t="shared" si="458"/>
        <v>1.81879160421873</v>
      </c>
      <c r="AV529">
        <f t="shared" si="459"/>
        <v>1.5707963267949</v>
      </c>
      <c r="AW529" t="str">
        <f t="shared" si="435"/>
        <v>1+93,1187941416903i</v>
      </c>
      <c r="AX529">
        <f t="shared" si="460"/>
        <v>93.1241634722293</v>
      </c>
      <c r="AY529">
        <f t="shared" si="461"/>
        <v>1.5600577689125</v>
      </c>
      <c r="AZ529" t="str">
        <f t="shared" si="436"/>
        <v>1+4451,87086034846i</v>
      </c>
      <c r="BA529">
        <f t="shared" si="462"/>
        <v>4451.87097266079</v>
      </c>
      <c r="BB529">
        <f t="shared" si="463"/>
        <v>1.57057170213382</v>
      </c>
      <c r="BC529" s="30" t="str">
        <f t="shared" si="464"/>
        <v>-0,0000278279305636489+0,00264666938413713i</v>
      </c>
      <c r="BD529" s="32">
        <f t="shared" si="465"/>
        <v>-51.5455260375108</v>
      </c>
      <c r="BE529" s="31">
        <f t="shared" si="466"/>
        <v>90.6024039996637</v>
      </c>
      <c r="BF529" s="30" t="str">
        <f t="shared" si="467"/>
        <v>-0,00260135195684113-0,00451048979167358i</v>
      </c>
      <c r="BG529" s="68">
        <f t="shared" si="468"/>
        <v>-45.6684564994107</v>
      </c>
      <c r="BH529" s="31">
        <f t="shared" si="469"/>
        <v>-119.973502492331</v>
      </c>
      <c r="BI529" s="30" t="str">
        <f t="shared" si="476"/>
        <v>0,126848788605341+0,0102275934727846i</v>
      </c>
      <c r="BJ529" s="68">
        <f t="shared" si="470"/>
        <v>-17.9061317918335</v>
      </c>
      <c r="BK529" s="31">
        <f t="shared" si="477"/>
        <v>4.60968557047856</v>
      </c>
      <c r="BL529" s="32">
        <f t="shared" si="471"/>
        <v>-45.6684564994107</v>
      </c>
      <c r="BM529" s="31">
        <f t="shared" si="472"/>
        <v>-119.973502492331</v>
      </c>
      <c r="BO529">
        <f t="shared" si="473"/>
        <v>0</v>
      </c>
      <c r="BP529">
        <f t="shared" si="474"/>
        <v>0</v>
      </c>
    </row>
    <row r="530" spans="14:68">
      <c r="N530" s="7">
        <v>12</v>
      </c>
      <c r="O530" s="18">
        <f t="shared" si="478"/>
        <v>1318256.73855641</v>
      </c>
      <c r="P530" s="86" t="str">
        <f t="shared" si="425"/>
        <v>75</v>
      </c>
      <c r="Q530" s="4" t="str">
        <f t="shared" si="426"/>
        <v>1+13528,6572389539i</v>
      </c>
      <c r="R530" s="4">
        <f t="shared" si="437"/>
        <v>13528.6572759125</v>
      </c>
      <c r="S530" s="4">
        <f t="shared" si="438"/>
        <v>1.57072240962924</v>
      </c>
      <c r="T530" s="4" t="str">
        <f t="shared" si="427"/>
        <v>1+129,875109493958i</v>
      </c>
      <c r="U530" s="4">
        <f t="shared" si="439"/>
        <v>129.878959289284</v>
      </c>
      <c r="V530" s="4">
        <f t="shared" si="440"/>
        <v>1.56309677418022</v>
      </c>
      <c r="W530" t="str">
        <f t="shared" si="428"/>
        <v>1-68,1264525247323i</v>
      </c>
      <c r="X530" s="4">
        <f t="shared" si="441"/>
        <v>68.133791422499</v>
      </c>
      <c r="Y530" s="4">
        <f t="shared" si="442"/>
        <v>-1.55611879476542</v>
      </c>
      <c r="Z530" t="str">
        <f t="shared" si="429"/>
        <v>-13,1861292142808+21,3782084257872i</v>
      </c>
      <c r="AA530" s="4">
        <f t="shared" si="443"/>
        <v>25.1177586410911</v>
      </c>
      <c r="AB530" s="4">
        <f t="shared" si="444"/>
        <v>2.12347897322151</v>
      </c>
      <c r="AC530" s="67" t="str">
        <f t="shared" si="445"/>
        <v>-1,66951998090385+1,01358159728372i</v>
      </c>
      <c r="AD530" s="68">
        <f t="shared" si="446"/>
        <v>5.81454084536689</v>
      </c>
      <c r="AE530" s="31">
        <f t="shared" si="447"/>
        <v>148.737660861257</v>
      </c>
      <c r="AF530" s="32" t="str">
        <f t="shared" si="448"/>
        <v>249,914648392112</v>
      </c>
      <c r="AG530" s="32" t="str">
        <f t="shared" si="430"/>
        <v>1+8696,99393932752i</v>
      </c>
      <c r="AH530" s="32">
        <f t="shared" si="449"/>
        <v>8696.99399681865</v>
      </c>
      <c r="AI530" s="32">
        <f t="shared" si="450"/>
        <v>1.57068134453751</v>
      </c>
      <c r="AJ530" s="32" t="str">
        <f t="shared" si="431"/>
        <v>1+129,875109493958i</v>
      </c>
      <c r="AK530" s="32">
        <f t="shared" si="451"/>
        <v>129.878959289284</v>
      </c>
      <c r="AL530" s="32">
        <f t="shared" si="452"/>
        <v>1.56309677418022</v>
      </c>
      <c r="AM530" s="32" t="str">
        <f t="shared" si="432"/>
        <v>1-13,1430273360263i</v>
      </c>
      <c r="AN530" s="32">
        <f t="shared" si="453"/>
        <v>13.1810154220202</v>
      </c>
      <c r="AO530" s="32">
        <f t="shared" si="454"/>
        <v>-1.49485667013172</v>
      </c>
      <c r="AP530" s="30" t="str">
        <f t="shared" si="455"/>
        <v>3,36002719698425-49,0788995690362i</v>
      </c>
      <c r="AQ530" s="32">
        <f t="shared" si="456"/>
        <v>33.8382042057744</v>
      </c>
      <c r="AR530" s="31">
        <f t="shared" si="457"/>
        <v>-86.08354204642</v>
      </c>
      <c r="AS530" t="str">
        <f t="shared" si="433"/>
        <v>-0,000100699300699301</v>
      </c>
      <c r="AT530" t="str">
        <f t="shared" si="434"/>
        <v>1,86115670301609i</v>
      </c>
      <c r="AU530">
        <f t="shared" si="458"/>
        <v>1.86115670301609</v>
      </c>
      <c r="AV530">
        <f t="shared" si="459"/>
        <v>1.5707963267949</v>
      </c>
      <c r="AW530" t="str">
        <f t="shared" si="435"/>
        <v>1+95,2878094948255i</v>
      </c>
      <c r="AX530">
        <f t="shared" si="460"/>
        <v>95.2930566112881</v>
      </c>
      <c r="AY530">
        <f t="shared" si="461"/>
        <v>1.56030219017801</v>
      </c>
      <c r="AZ530" t="str">
        <f t="shared" si="436"/>
        <v>1+4555,56825393346i</v>
      </c>
      <c r="BA530">
        <f t="shared" si="462"/>
        <v>4555.56836368925</v>
      </c>
      <c r="BB530">
        <f t="shared" si="463"/>
        <v>1.57057681521518</v>
      </c>
      <c r="BC530" s="30" t="str">
        <f t="shared" si="464"/>
        <v>-0,0000265756052974339+0,0025864369762979i</v>
      </c>
      <c r="BD530" s="32">
        <f t="shared" si="465"/>
        <v>-51.7455035078497</v>
      </c>
      <c r="BE530" s="31">
        <f t="shared" si="466"/>
        <v>90.5886926507092</v>
      </c>
      <c r="BF530" s="30" t="str">
        <f t="shared" si="467"/>
        <v>-0,00257719641766102-0,00434504475574404i</v>
      </c>
      <c r="BG530" s="68">
        <f t="shared" si="468"/>
        <v>-45.9309626624828</v>
      </c>
      <c r="BH530" s="31">
        <f t="shared" si="469"/>
        <v>-120.673646488034</v>
      </c>
      <c r="BI530" s="30" t="str">
        <f t="shared" si="476"/>
        <v>0,126850185844791+0,00999480004702576i</v>
      </c>
      <c r="BJ530" s="68">
        <f t="shared" si="470"/>
        <v>-17.9072993020753</v>
      </c>
      <c r="BK530" s="31">
        <f t="shared" si="477"/>
        <v>4.5051506042892</v>
      </c>
      <c r="BL530" s="32">
        <f t="shared" si="471"/>
        <v>-45.9309626624828</v>
      </c>
      <c r="BM530" s="31">
        <f t="shared" si="472"/>
        <v>-120.673646488034</v>
      </c>
      <c r="BO530">
        <f t="shared" si="473"/>
        <v>0</v>
      </c>
      <c r="BP530">
        <f t="shared" si="474"/>
        <v>0</v>
      </c>
    </row>
    <row r="531" spans="14:68">
      <c r="N531" s="7">
        <v>13</v>
      </c>
      <c r="O531" s="18">
        <f t="shared" si="478"/>
        <v>1348962.88259166</v>
      </c>
      <c r="P531" s="86" t="str">
        <f t="shared" ref="P531:P560" si="479">COMPLEX(Adc,0)</f>
        <v>75</v>
      </c>
      <c r="Q531" s="4" t="str">
        <f t="shared" ref="Q531:Q560" si="480">IMSUM(COMPLEX(1,0),IMDIV(COMPLEX(0,2*PI()*O531),COMPLEX(wp_lf,0)))</f>
        <v>1+13843,7801475899i</v>
      </c>
      <c r="R531" s="4">
        <f t="shared" si="437"/>
        <v>13843.7801837072</v>
      </c>
      <c r="S531" s="4">
        <f t="shared" si="438"/>
        <v>1.57072409218935</v>
      </c>
      <c r="T531" s="4" t="str">
        <f t="shared" ref="T531:T560" si="481">IMSUM(COMPLEX(1,0),IMDIV(COMPLEX(0,2*PI()*O531),COMPLEX(wz_esr,0)))</f>
        <v>1+132,900289416863i</v>
      </c>
      <c r="U531" s="4">
        <f t="shared" si="439"/>
        <v>132.904051582658</v>
      </c>
      <c r="V531" s="4">
        <f t="shared" si="440"/>
        <v>1.56327203070315</v>
      </c>
      <c r="W531" t="str">
        <f t="shared" ref="W531:W560" si="482">IMSUB(COMPLEX(1,0),IMDIV(COMPLEX(0,2*PI()*O531),COMPLEX(wz_rhp,0)))</f>
        <v>1-69,7133214575062i</v>
      </c>
      <c r="X531" s="4">
        <f t="shared" si="441"/>
        <v>69.7204933189489</v>
      </c>
      <c r="Y531" s="4">
        <f t="shared" si="442"/>
        <v>-1.55645284982794</v>
      </c>
      <c r="Z531" t="str">
        <f t="shared" ref="Z531:Z560" si="483">IMSUM(COMPLEX(1,0),IMDIV(COMPLEX(0,2*PI()*O531),COMPLEX(Q*(wsl/2),0)),IMDIV(IMPOWER(COMPLEX(0,2*PI()*O531),2),IMPOWER(COMPLEX(wsl/2,0),2)))</f>
        <v>-13,8547008866123+21,8761708696255i</v>
      </c>
      <c r="AA531" s="4">
        <f t="shared" si="443"/>
        <v>25.8943929949043</v>
      </c>
      <c r="AB531" s="4">
        <f t="shared" si="444"/>
        <v>2.13535895617895</v>
      </c>
      <c r="AC531" s="67" t="str">
        <f t="shared" si="445"/>
        <v>-1,64492517602213+1,02595645718866i</v>
      </c>
      <c r="AD531" s="68">
        <f t="shared" si="446"/>
        <v>5.74999011305833</v>
      </c>
      <c r="AE531" s="31">
        <f t="shared" si="447"/>
        <v>148.047793087403</v>
      </c>
      <c r="AF531" s="32" t="str">
        <f t="shared" si="448"/>
        <v>249,914648392112</v>
      </c>
      <c r="AG531" s="32" t="str">
        <f t="shared" ref="AG531:AG560" si="484">IMSUM(COMPLEX(1,0),IMDIV(COMPLEX(0,2*PI()*O531),COMPLEX(wp_lf_DCM,0)))</f>
        <v>1+8899,57295202206i</v>
      </c>
      <c r="AH531" s="32">
        <f t="shared" si="449"/>
        <v>8899.57300820453</v>
      </c>
      <c r="AI531" s="32">
        <f t="shared" si="450"/>
        <v>1.57068396185321</v>
      </c>
      <c r="AJ531" s="32" t="str">
        <f t="shared" ref="AJ531:AJ560" si="485">IMSUM(COMPLEX(1,0),IMDIV(COMPLEX(0,2*PI()*O531),COMPLEX(wz1_dcm,0)))</f>
        <v>1+132,900289416863i</v>
      </c>
      <c r="AK531" s="32">
        <f t="shared" si="451"/>
        <v>132.904051582658</v>
      </c>
      <c r="AL531" s="32">
        <f t="shared" si="452"/>
        <v>1.56327203070315</v>
      </c>
      <c r="AM531" s="32" t="str">
        <f t="shared" ref="AM531:AM560" si="486">IMSUB(COMPLEX(1,0),IMDIV(COMPLEX(0,2*PI()*O531),COMPLEX(wz2_dcm,0)))</f>
        <v>1-13,4491677703101i</v>
      </c>
      <c r="AN531" s="32">
        <f t="shared" si="453"/>
        <v>13.4862935498953</v>
      </c>
      <c r="AO531" s="32">
        <f t="shared" si="454"/>
        <v>-1.49657885366317</v>
      </c>
      <c r="AP531" s="30" t="str">
        <f t="shared" si="455"/>
        <v>3,36002705027454-50,2207883440544i</v>
      </c>
      <c r="AQ531" s="32">
        <f t="shared" si="456"/>
        <v>34.0370674281479</v>
      </c>
      <c r="AR531" s="31">
        <f t="shared" si="457"/>
        <v>-86.1723243963664</v>
      </c>
      <c r="AS531" t="str">
        <f t="shared" ref="AS531:AS560" si="487">COMPLEX(Adc_ea,0)</f>
        <v>-0,000100699300699301</v>
      </c>
      <c r="AT531" t="str">
        <f t="shared" ref="AT531:AT560" si="488">COMPLEX(0,2*PI()*O531*wp0_ea)</f>
        <v>1,90450861173272i</v>
      </c>
      <c r="AU531">
        <f t="shared" si="458"/>
        <v>1.90450861173272</v>
      </c>
      <c r="AV531">
        <f t="shared" si="459"/>
        <v>1.5707963267949</v>
      </c>
      <c r="AW531" t="str">
        <f t="shared" ref="AW531:AW560" si="489">IMSUM(COMPLEX(1,0),IMDIV(COMPLEX(0,2*PI()*O531),COMPLEX(wp1_ea,0)))</f>
        <v>1+97,5073477058387i</v>
      </c>
      <c r="AX531">
        <f t="shared" si="460"/>
        <v>97.5124753897024</v>
      </c>
      <c r="AY531">
        <f t="shared" si="461"/>
        <v>1.56054104894791</v>
      </c>
      <c r="AZ531" t="str">
        <f t="shared" ref="AZ531:AZ560" si="490">IMSUM(COMPLEX(1,0),IMDIV(COMPLEX(0,2*PI()*O531),COMPLEX(wz_ea,0)))</f>
        <v>1+4661,68107010679i</v>
      </c>
      <c r="BA531">
        <f t="shared" si="462"/>
        <v>4661.68117736423</v>
      </c>
      <c r="BB531">
        <f t="shared" si="463"/>
        <v>1.57058181190861</v>
      </c>
      <c r="BC531" s="30" t="str">
        <f t="shared" si="464"/>
        <v>-0,0000253796318182974+0,00252757474836503i</v>
      </c>
      <c r="BD531" s="32">
        <f t="shared" si="465"/>
        <v>-51.9454819920812</v>
      </c>
      <c r="BE531" s="31">
        <f t="shared" si="466"/>
        <v>90.5752933407395</v>
      </c>
      <c r="BF531" s="30" t="str">
        <f t="shared" si="467"/>
        <v>-0,00255143403877601-0,00418370973500849i</v>
      </c>
      <c r="BG531" s="68">
        <f t="shared" si="468"/>
        <v>-46.1954918790229</v>
      </c>
      <c r="BH531" s="31">
        <f t="shared" si="469"/>
        <v>-121.376913571857</v>
      </c>
      <c r="BI531" s="30" t="str">
        <f t="shared" si="476"/>
        <v>0,126851520211981+0,00976730464389411i</v>
      </c>
      <c r="BJ531" s="68">
        <f t="shared" si="470"/>
        <v>-17.9084145639333</v>
      </c>
      <c r="BK531" s="31">
        <f t="shared" si="477"/>
        <v>4.40296894437304</v>
      </c>
      <c r="BL531" s="32">
        <f t="shared" si="471"/>
        <v>-46.1954918790229</v>
      </c>
      <c r="BM531" s="31">
        <f t="shared" si="472"/>
        <v>-121.376913571857</v>
      </c>
      <c r="BO531">
        <f t="shared" si="473"/>
        <v>0</v>
      </c>
      <c r="BP531">
        <f t="shared" si="474"/>
        <v>0</v>
      </c>
    </row>
    <row r="532" spans="14:68">
      <c r="N532" s="7">
        <v>14</v>
      </c>
      <c r="O532" s="18">
        <f t="shared" si="478"/>
        <v>1380384.26460288</v>
      </c>
      <c r="P532" s="86" t="str">
        <f t="shared" si="479"/>
        <v>75</v>
      </c>
      <c r="Q532" s="4" t="str">
        <f t="shared" si="480"/>
        <v>1+14166,243211704i</v>
      </c>
      <c r="R532" s="4">
        <f t="shared" ref="R532:R560" si="491">IMABS(Q532)</f>
        <v>14166.2432469992</v>
      </c>
      <c r="S532" s="4">
        <f t="shared" ref="S532:S560" si="492">IMARGUMENT(Q532)</f>
        <v>1.57072573644971</v>
      </c>
      <c r="T532" s="4" t="str">
        <f t="shared" si="481"/>
        <v>1+135,995934832359i</v>
      </c>
      <c r="U532" s="4">
        <f t="shared" ref="U532:U560" si="493">IMABS(T532)</f>
        <v>135.999611363148</v>
      </c>
      <c r="V532" s="4">
        <f t="shared" ref="V532:V560" si="494">IMARGUMENT(T532)</f>
        <v>1.56344329834721</v>
      </c>
      <c r="W532" t="str">
        <f t="shared" si="482"/>
        <v>1-71,337153316081i</v>
      </c>
      <c r="X532" s="4">
        <f t="shared" ref="X532:X560" si="495">IMABS(W532)</f>
        <v>71.3441619422504</v>
      </c>
      <c r="Y532" s="4">
        <f t="shared" ref="Y532:Y560" si="496">IMARGUMENT(W532)</f>
        <v>-1.55677930396246</v>
      </c>
      <c r="Z532" t="str">
        <f t="shared" si="483"/>
        <v>-14,5547813711285+22,3857323488239i</v>
      </c>
      <c r="AA532" s="4">
        <f t="shared" ref="AA532:AA560" si="497">IMABS(Z532)</f>
        <v>26.7013608933052</v>
      </c>
      <c r="AB532" s="4">
        <f t="shared" ref="AB532:AB560" si="498">IMARGUMENT(Z532)</f>
        <v>2.14729888837222</v>
      </c>
      <c r="AC532" s="67" t="str">
        <f t="shared" ref="AC532:AC560" si="499">(IMDIV(IMPRODUCT(P532,T532,W532),IMPRODUCT(Q532,Z532)))</f>
        <v>-1,61992483720584+1,03779067695118i</v>
      </c>
      <c r="AD532" s="68">
        <f t="shared" ref="AD532:AD560" si="500">20*LOG(IMABS(AC532))</f>
        <v>5.68338560127238</v>
      </c>
      <c r="AE532" s="31">
        <f t="shared" ref="AE532:AE560" si="501">(180/PI())*IMARGUMENT(AC532)</f>
        <v>147.354699624937</v>
      </c>
      <c r="AF532" s="32" t="str">
        <f t="shared" ref="AF532:AF560" si="502">COMPLEX($B$68,0)</f>
        <v>249,914648392112</v>
      </c>
      <c r="AG532" s="32" t="str">
        <f t="shared" si="484"/>
        <v>1+9106,87063609544i</v>
      </c>
      <c r="AH532" s="32">
        <f t="shared" ref="AH532:AH560" si="503">IMABS(AG532)</f>
        <v>9106.87069099904</v>
      </c>
      <c r="AI532" s="32">
        <f t="shared" ref="AI532:AI560" si="504">IMARGUMENT(AG532)</f>
        <v>1.57068651959153</v>
      </c>
      <c r="AJ532" s="32" t="str">
        <f t="shared" si="485"/>
        <v>1+135,995934832359i</v>
      </c>
      <c r="AK532" s="32">
        <f t="shared" ref="AK532:AK560" si="505">IMABS(AJ532)</f>
        <v>135.999611363148</v>
      </c>
      <c r="AL532" s="32">
        <f t="shared" ref="AL532:AL560" si="506">IMARGUMENT(AJ532)</f>
        <v>1.56344329834721</v>
      </c>
      <c r="AM532" s="32" t="str">
        <f t="shared" si="486"/>
        <v>1-13,7624391313664i</v>
      </c>
      <c r="AN532" s="32">
        <f t="shared" ref="AN532:AN560" si="507">IMABS(AM532)</f>
        <v>13.7987220728793</v>
      </c>
      <c r="AO532" s="32">
        <f t="shared" ref="AO532:AO560" si="508">IMARGUMENT(AM532)</f>
        <v>-1.49826226180435</v>
      </c>
      <c r="AP532" s="30" t="str">
        <f t="shared" ref="AP532:AP560" si="509">(IMDIV(IMPRODUCT(AF532,AJ532,AM532),IMPRODUCT(AG532)))</f>
        <v>3,36002691016785-51,3893048458015i</v>
      </c>
      <c r="AQ532" s="32">
        <f t="shared" ref="AQ532:AQ560" si="510">20*LOG(IMABS(AP532))</f>
        <v>34.2359815417103</v>
      </c>
      <c r="AR532" s="31">
        <f t="shared" ref="AR532:AR560" si="511">(180/PI())*IMARGUMENT(AP532)</f>
        <v>-86.259110212493</v>
      </c>
      <c r="AS532" t="str">
        <f t="shared" si="487"/>
        <v>-0,000100699300699301</v>
      </c>
      <c r="AT532" t="str">
        <f t="shared" si="488"/>
        <v>1,94887031612443i</v>
      </c>
      <c r="AU532">
        <f t="shared" ref="AU532:AU560" si="512">IMABS(AT532)</f>
        <v>1.94887031612443</v>
      </c>
      <c r="AV532">
        <f t="shared" ref="AV532:AV560" si="513">IMARGUMENT(AT532)</f>
        <v>1.5707963267949</v>
      </c>
      <c r="AW532" t="str">
        <f t="shared" si="489"/>
        <v>1+99,7785856032667i</v>
      </c>
      <c r="AX532">
        <f t="shared" ref="AX532:AX560" si="514">IMABS(AW532)</f>
        <v>99.7835965727254</v>
      </c>
      <c r="AY532">
        <f t="shared" ref="AY532:AY560" si="515">IMARGUMENT(AW532)</f>
        <v>1.5607744717592</v>
      </c>
      <c r="AZ532" t="str">
        <f t="shared" si="490"/>
        <v>1+4770,26557128809i</v>
      </c>
      <c r="BA532">
        <f t="shared" ref="BA532:BA560" si="516">IMABS(AZ532)</f>
        <v>4770.26567610406</v>
      </c>
      <c r="BB532">
        <f t="shared" ref="BB532:BB560" si="517">IMARGUMENT(AZ532)</f>
        <v>1.57058669486342</v>
      </c>
      <c r="BC532" s="30" t="str">
        <f t="shared" ref="BC532:BC560" si="518">IMPRODUCT(AS532,IMDIV(AZ532,IMPRODUCT(AT532,AW532)))</f>
        <v>-0,00002423747494558+0,00247005156976418i</v>
      </c>
      <c r="BD532" s="32">
        <f t="shared" ref="BD532:BD560" si="519">20*LOG(IMABS(BC532))</f>
        <v>-52.1454614445822</v>
      </c>
      <c r="BE532" s="31">
        <f t="shared" ref="BE532:BE560" si="520">(180/PI())*IMARGUMENT(BC532)</f>
        <v>90.5621989715129</v>
      </c>
      <c r="BF532" s="30" t="str">
        <f t="shared" ref="BF532:BF560" si="521">IMPRODUCT(AC532,BC532)</f>
        <v>-0,00252413360303439-0,00402645131257163i</v>
      </c>
      <c r="BG532" s="68">
        <f t="shared" ref="BG532:BG560" si="522">20*LOG(IMABS(BF532))</f>
        <v>-46.4620758433099</v>
      </c>
      <c r="BH532" s="31">
        <f t="shared" ref="BH532:BH560" si="523">(180/PI())*IMARGUMENT(BF532)</f>
        <v>-122.08310140355</v>
      </c>
      <c r="BI532" s="30" t="str">
        <f t="shared" si="476"/>
        <v>0,12685279453541+0,00954498673258087i</v>
      </c>
      <c r="BJ532" s="68">
        <f t="shared" ref="BJ532:BJ560" si="524">20*LOG(IMABS(BI532))</f>
        <v>-17.909479902872</v>
      </c>
      <c r="BK532" s="31">
        <f t="shared" si="477"/>
        <v>4.30308875901985</v>
      </c>
      <c r="BL532" s="32">
        <f t="shared" ref="BL532:BL560" si="525">IF($B$31=0,BJ532,BG532)</f>
        <v>-46.4620758433099</v>
      </c>
      <c r="BM532" s="31">
        <f t="shared" ref="BM532:BM560" si="526">IF($B$31=0,BK532,BH532)</f>
        <v>-122.08310140355</v>
      </c>
      <c r="BO532">
        <f t="shared" ref="BO532:BO559" si="527">SUM((BL533&lt;0)*(BL532&gt;0))*O532</f>
        <v>0</v>
      </c>
      <c r="BP532">
        <f t="shared" ref="BP532:BP559" si="528">IF(BO532&gt;0,BM532,0)</f>
        <v>0</v>
      </c>
    </row>
    <row r="533" spans="14:68">
      <c r="N533" s="7">
        <v>15</v>
      </c>
      <c r="O533" s="18">
        <f t="shared" si="478"/>
        <v>1412537.54462276</v>
      </c>
      <c r="P533" s="86" t="str">
        <f t="shared" si="479"/>
        <v>75</v>
      </c>
      <c r="Q533" s="4" t="str">
        <f t="shared" si="480"/>
        <v>1+14496,2174054816i</v>
      </c>
      <c r="R533" s="4">
        <f t="shared" si="491"/>
        <v>14496.2174399734</v>
      </c>
      <c r="S533" s="4">
        <f t="shared" si="492"/>
        <v>1.57072734328213</v>
      </c>
      <c r="T533" s="4" t="str">
        <f t="shared" si="481"/>
        <v>1+139,163687092624i</v>
      </c>
      <c r="U533" s="4">
        <f t="shared" si="493"/>
        <v>139.167279937541</v>
      </c>
      <c r="V533" s="4">
        <f t="shared" si="494"/>
        <v>1.56361066788056</v>
      </c>
      <c r="W533" t="str">
        <f t="shared" si="482"/>
        <v>1-72,9988090776041i</v>
      </c>
      <c r="X533" s="4">
        <f t="shared" si="495"/>
        <v>73.0056581831059</v>
      </c>
      <c r="Y533" s="4">
        <f t="shared" si="496"/>
        <v>-1.55709832998079</v>
      </c>
      <c r="Z533" t="str">
        <f t="shared" si="483"/>
        <v>-15,2878556323992+22,9071630396243i</v>
      </c>
      <c r="AA533" s="4">
        <f t="shared" si="497"/>
        <v>27.540091654913</v>
      </c>
      <c r="AB533" s="4">
        <f t="shared" si="498"/>
        <v>2.15929482361763</v>
      </c>
      <c r="AC533" s="67" t="str">
        <f t="shared" si="499"/>
        <v>-1,59453755845428+1,04906541479639i</v>
      </c>
      <c r="AD533" s="68">
        <f t="shared" si="500"/>
        <v>5.61469694064157</v>
      </c>
      <c r="AE533" s="31">
        <f t="shared" si="501"/>
        <v>146.658601822822</v>
      </c>
      <c r="AF533" s="32" t="str">
        <f t="shared" si="502"/>
        <v>249,914648392112</v>
      </c>
      <c r="AG533" s="32" t="str">
        <f t="shared" si="484"/>
        <v>1+9318,99690352392i</v>
      </c>
      <c r="AH533" s="32">
        <f t="shared" si="503"/>
        <v>9318.99695717776</v>
      </c>
      <c r="AI533" s="32">
        <f t="shared" si="504"/>
        <v>1.57068901910862</v>
      </c>
      <c r="AJ533" s="32" t="str">
        <f t="shared" si="485"/>
        <v>1+139,163687092624i</v>
      </c>
      <c r="AK533" s="32">
        <f t="shared" si="505"/>
        <v>139.167279937541</v>
      </c>
      <c r="AL533" s="32">
        <f t="shared" si="506"/>
        <v>1.56361066788056</v>
      </c>
      <c r="AM533" s="32" t="str">
        <f t="shared" si="486"/>
        <v>1-14,0830075198178i</v>
      </c>
      <c r="AN533" s="32">
        <f t="shared" si="507"/>
        <v>14.1184666590691</v>
      </c>
      <c r="AO533" s="32">
        <f t="shared" si="508"/>
        <v>-1.49990774893477</v>
      </c>
      <c r="AP533" s="30" t="str">
        <f t="shared" si="509"/>
        <v>3,360026776367-52,5850686371951i</v>
      </c>
      <c r="AQ533" s="32">
        <f t="shared" si="510"/>
        <v>34.4349442798113</v>
      </c>
      <c r="AR533" s="31">
        <f t="shared" si="511"/>
        <v>-86.343943324209</v>
      </c>
      <c r="AS533" t="str">
        <f t="shared" si="487"/>
        <v>-0,000100699300699301</v>
      </c>
      <c r="AT533" t="str">
        <f t="shared" si="488"/>
        <v>1,99426533735412i</v>
      </c>
      <c r="AU533">
        <f t="shared" si="512"/>
        <v>1.99426533735412</v>
      </c>
      <c r="AV533">
        <f t="shared" si="513"/>
        <v>1.5707963267949</v>
      </c>
      <c r="AW533" t="str">
        <f t="shared" si="489"/>
        <v>1+102,102727427509i</v>
      </c>
      <c r="AX533">
        <f t="shared" si="514"/>
        <v>102.107624338911</v>
      </c>
      <c r="AY533">
        <f t="shared" si="515"/>
        <v>1.56100258227394</v>
      </c>
      <c r="AZ533" t="str">
        <f t="shared" si="490"/>
        <v>1+4881,37933041729i</v>
      </c>
      <c r="BA533">
        <f t="shared" si="516"/>
        <v>4881.37943284735</v>
      </c>
      <c r="BB533">
        <f t="shared" si="517"/>
        <v>1.57059146666862</v>
      </c>
      <c r="BC533" s="30" t="str">
        <f t="shared" si="518"/>
        <v>-0,0000231467135066352+0,0024138370146343i</v>
      </c>
      <c r="BD533" s="32">
        <f t="shared" si="519"/>
        <v>-52.3454418217823</v>
      </c>
      <c r="BE533" s="31">
        <f t="shared" si="520"/>
        <v>90.5494026060545</v>
      </c>
      <c r="BF533" s="30" t="str">
        <f t="shared" si="521"/>
        <v>-0,0024953646249671-0,00387323619642756i</v>
      </c>
      <c r="BG533" s="68">
        <f t="shared" si="522"/>
        <v>-46.7307448811407</v>
      </c>
      <c r="BH533" s="31">
        <f t="shared" si="523"/>
        <v>-122.791995571124</v>
      </c>
      <c r="BI533" s="30" t="str">
        <f t="shared" si="476"/>
        <v>0,12685401151638+0,00932772852142893i</v>
      </c>
      <c r="BJ533" s="68">
        <f t="shared" si="524"/>
        <v>-17.910497541971</v>
      </c>
      <c r="BK533" s="31">
        <f t="shared" si="477"/>
        <v>4.20545928184547</v>
      </c>
      <c r="BL533" s="32">
        <f t="shared" si="525"/>
        <v>-46.7307448811407</v>
      </c>
      <c r="BM533" s="31">
        <f t="shared" si="526"/>
        <v>-122.791995571124</v>
      </c>
      <c r="BO533">
        <f t="shared" si="527"/>
        <v>0</v>
      </c>
      <c r="BP533">
        <f t="shared" si="528"/>
        <v>0</v>
      </c>
    </row>
    <row r="534" spans="14:68">
      <c r="N534" s="7">
        <v>16</v>
      </c>
      <c r="O534" s="18">
        <f t="shared" si="478"/>
        <v>1445439.77074593</v>
      </c>
      <c r="P534" s="86" t="str">
        <f t="shared" si="479"/>
        <v>75</v>
      </c>
      <c r="Q534" s="4" t="str">
        <f t="shared" si="480"/>
        <v>1+14833,8776856076i</v>
      </c>
      <c r="R534" s="4">
        <f t="shared" si="491"/>
        <v>14833.8777193142</v>
      </c>
      <c r="S534" s="4">
        <f t="shared" si="492"/>
        <v>1.57072891353859</v>
      </c>
      <c r="T534" s="4" t="str">
        <f t="shared" si="481"/>
        <v>1+142,405225781833i</v>
      </c>
      <c r="U534" s="4">
        <f t="shared" si="493"/>
        <v>142.408736845654</v>
      </c>
      <c r="V534" s="4">
        <f t="shared" si="494"/>
        <v>1.56377422800721</v>
      </c>
      <c r="W534" t="str">
        <f t="shared" si="482"/>
        <v>1-74,6991697739528i</v>
      </c>
      <c r="X534" s="4">
        <f t="shared" si="495"/>
        <v>74.7058629889102</v>
      </c>
      <c r="Y534" s="4">
        <f t="shared" si="496"/>
        <v>-1.55741009677484</v>
      </c>
      <c r="Z534" t="str">
        <f t="shared" si="483"/>
        <v>-16,0554786192168+23,4407394114802i</v>
      </c>
      <c r="AA534" s="4">
        <f t="shared" si="497"/>
        <v>28.4120864747566</v>
      </c>
      <c r="AB534" s="4">
        <f t="shared" si="498"/>
        <v>2.17134261684437</v>
      </c>
      <c r="AC534" s="67" t="str">
        <f t="shared" si="499"/>
        <v>-1,56878325375098+1,05976258131567i</v>
      </c>
      <c r="AD534" s="68">
        <f t="shared" si="500"/>
        <v>5.54389524450707</v>
      </c>
      <c r="AE534" s="31">
        <f t="shared" si="501"/>
        <v>145.959732532879</v>
      </c>
      <c r="AF534" s="32" t="str">
        <f t="shared" si="502"/>
        <v>249,914648392112</v>
      </c>
      <c r="AG534" s="32" t="str">
        <f t="shared" si="484"/>
        <v>1+9536,06422646205i</v>
      </c>
      <c r="AH534" s="32">
        <f t="shared" si="503"/>
        <v>9536.06427889458</v>
      </c>
      <c r="AI534" s="32">
        <f t="shared" si="504"/>
        <v>1.57069146172975</v>
      </c>
      <c r="AJ534" s="32" t="str">
        <f t="shared" si="485"/>
        <v>1+142,405225781833i</v>
      </c>
      <c r="AK534" s="32">
        <f t="shared" si="505"/>
        <v>142.408736845654</v>
      </c>
      <c r="AL534" s="32">
        <f t="shared" si="506"/>
        <v>1.56377422800721</v>
      </c>
      <c r="AM534" s="32" t="str">
        <f t="shared" si="486"/>
        <v>1-14,4110429052667i</v>
      </c>
      <c r="AN534" s="32">
        <f t="shared" si="507"/>
        <v>14.4456968546844</v>
      </c>
      <c r="AO534" s="32">
        <f t="shared" si="508"/>
        <v>-1.50151615185055</v>
      </c>
      <c r="AP534" s="30" t="str">
        <f t="shared" si="509"/>
        <v>3,36002664858817-53,8087137280239i</v>
      </c>
      <c r="AQ534" s="32">
        <f t="shared" si="510"/>
        <v>34.6339534757355</v>
      </c>
      <c r="AR534" s="31">
        <f t="shared" si="511"/>
        <v>-86.426866669968</v>
      </c>
      <c r="AS534" t="str">
        <f t="shared" si="487"/>
        <v>-0,000100699300699301</v>
      </c>
      <c r="AT534" t="str">
        <f t="shared" si="488"/>
        <v>2,04071774446288i</v>
      </c>
      <c r="AU534">
        <f t="shared" si="512"/>
        <v>2.04071774446288</v>
      </c>
      <c r="AV534">
        <f t="shared" si="513"/>
        <v>1.5707963267949</v>
      </c>
      <c r="AW534" t="str">
        <f t="shared" si="489"/>
        <v>1+104,481005469322i</v>
      </c>
      <c r="AX534">
        <f t="shared" si="514"/>
        <v>104.485790918577</v>
      </c>
      <c r="AY534">
        <f t="shared" si="515"/>
        <v>1.56122550134433</v>
      </c>
      <c r="AZ534" t="str">
        <f t="shared" si="490"/>
        <v>1+4995,08126148012i</v>
      </c>
      <c r="BA534">
        <f t="shared" si="516"/>
        <v>4995.08136157859</v>
      </c>
      <c r="BB534">
        <f t="shared" si="517"/>
        <v>1.57059612985429</v>
      </c>
      <c r="BC534" s="30" t="str">
        <f t="shared" si="518"/>
        <v>-0,0000221050352138866+0,00235890134604703i</v>
      </c>
      <c r="BD534" s="32">
        <f t="shared" si="519"/>
        <v>-52.545423082071</v>
      </c>
      <c r="BE534" s="31">
        <f t="shared" si="520"/>
        <v>90.5368974650058</v>
      </c>
      <c r="BF534" s="30" t="str">
        <f t="shared" si="521"/>
        <v>-0,00246519737048869-0,00372403101810757i</v>
      </c>
      <c r="BG534" s="68">
        <f t="shared" si="522"/>
        <v>-47.0015278375639</v>
      </c>
      <c r="BH534" s="31">
        <f t="shared" si="523"/>
        <v>-123.503370002116</v>
      </c>
      <c r="BI534" s="30" t="str">
        <f t="shared" si="476"/>
        <v>0,126855173734708+0,00911541489588044i</v>
      </c>
      <c r="BJ534" s="68">
        <f t="shared" si="524"/>
        <v>-17.9114696063355</v>
      </c>
      <c r="BK534" s="31">
        <f t="shared" si="477"/>
        <v>4.11003079503775</v>
      </c>
      <c r="BL534" s="32">
        <f t="shared" si="525"/>
        <v>-47.0015278375639</v>
      </c>
      <c r="BM534" s="31">
        <f t="shared" si="526"/>
        <v>-123.503370002116</v>
      </c>
      <c r="BO534">
        <f t="shared" si="527"/>
        <v>0</v>
      </c>
      <c r="BP534">
        <f t="shared" si="528"/>
        <v>0</v>
      </c>
    </row>
    <row r="535" spans="14:68">
      <c r="N535" s="7">
        <v>17</v>
      </c>
      <c r="O535" s="18">
        <f t="shared" si="478"/>
        <v>1479108.38816821</v>
      </c>
      <c r="P535" s="86" t="str">
        <f t="shared" si="479"/>
        <v>75</v>
      </c>
      <c r="Q535" s="4" t="str">
        <f t="shared" si="480"/>
        <v>1+15179,4030840321i</v>
      </c>
      <c r="R535" s="4">
        <f t="shared" si="491"/>
        <v>15179.4031169715</v>
      </c>
      <c r="S535" s="4">
        <f t="shared" si="492"/>
        <v>1.57073044805164</v>
      </c>
      <c r="T535" s="4" t="str">
        <f t="shared" si="481"/>
        <v>1+145,722269606709i</v>
      </c>
      <c r="U535" s="4">
        <f t="shared" si="493"/>
        <v>145.725700750864</v>
      </c>
      <c r="V535" s="4">
        <f t="shared" si="494"/>
        <v>1.5639340654139</v>
      </c>
      <c r="W535" t="str">
        <f t="shared" si="482"/>
        <v>1-76,4391369588762i</v>
      </c>
      <c r="X535" s="4">
        <f t="shared" si="495"/>
        <v>76.4456778308482</v>
      </c>
      <c r="Y535" s="4">
        <f t="shared" si="496"/>
        <v>-1.55771476940492</v>
      </c>
      <c r="Z535" t="str">
        <f t="shared" si="483"/>
        <v>-16,8592785628537+23,986744373647i</v>
      </c>
      <c r="AA535" s="4">
        <f t="shared" si="497"/>
        <v>29.3189218646693</v>
      </c>
      <c r="AB535" s="4">
        <f t="shared" si="498"/>
        <v>2.18343793215027</v>
      </c>
      <c r="AC535" s="67" t="str">
        <f t="shared" si="499"/>
        <v>-1,54268311770924+1,06986494494891i</v>
      </c>
      <c r="AD535" s="68">
        <f t="shared" si="500"/>
        <v>5.47095321812343</v>
      </c>
      <c r="AE535" s="31">
        <f t="shared" si="501"/>
        <v>145.258335645823</v>
      </c>
      <c r="AF535" s="32" t="str">
        <f t="shared" si="502"/>
        <v>249,914648392112</v>
      </c>
      <c r="AG535" s="32" t="str">
        <f t="shared" si="484"/>
        <v>1+9758,1876968778i</v>
      </c>
      <c r="AH535" s="32">
        <f t="shared" si="503"/>
        <v>9758.18774811682</v>
      </c>
      <c r="AI535" s="32">
        <f t="shared" si="504"/>
        <v>1.57069384875004</v>
      </c>
      <c r="AJ535" s="32" t="str">
        <f t="shared" si="485"/>
        <v>1+145,722269606709i</v>
      </c>
      <c r="AK535" s="32">
        <f t="shared" si="505"/>
        <v>145.725700750864</v>
      </c>
      <c r="AL535" s="32">
        <f t="shared" si="506"/>
        <v>1.5639340654139</v>
      </c>
      <c r="AM535" s="32" t="str">
        <f t="shared" si="486"/>
        <v>1-14,7467192164166i</v>
      </c>
      <c r="AN535" s="32">
        <f t="shared" si="507"/>
        <v>14.7805861740267</v>
      </c>
      <c r="AO535" s="32">
        <f t="shared" si="508"/>
        <v>-1.50308829004254</v>
      </c>
      <c r="AP535" s="30" t="str">
        <f t="shared" si="509"/>
        <v>3,36002652656037-55,0608889111127i</v>
      </c>
      <c r="AQ535" s="32">
        <f t="shared" si="510"/>
        <v>34.833007058386</v>
      </c>
      <c r="AR535" s="31">
        <f t="shared" si="511"/>
        <v>-86.5079223105571</v>
      </c>
      <c r="AS535" t="str">
        <f t="shared" si="487"/>
        <v>-0,000100699300699301</v>
      </c>
      <c r="AT535" t="str">
        <f t="shared" si="488"/>
        <v>2,08825216713185i</v>
      </c>
      <c r="AU535">
        <f t="shared" si="512"/>
        <v>2.08825216713185</v>
      </c>
      <c r="AV535">
        <f t="shared" si="513"/>
        <v>1.5707963267949</v>
      </c>
      <c r="AW535" t="str">
        <f t="shared" si="489"/>
        <v>1+106,914680723204i</v>
      </c>
      <c r="AX535">
        <f t="shared" si="514"/>
        <v>106.919357247154</v>
      </c>
      <c r="AY535">
        <f t="shared" si="515"/>
        <v>1.56144334707634</v>
      </c>
      <c r="AZ535" t="str">
        <f t="shared" si="490"/>
        <v>1+5111,43165074551i</v>
      </c>
      <c r="BA535">
        <f t="shared" si="516"/>
        <v>5111.43174856546</v>
      </c>
      <c r="BB535">
        <f t="shared" si="517"/>
        <v>1.57060068689289</v>
      </c>
      <c r="BC535" s="30" t="str">
        <f t="shared" si="518"/>
        <v>-0,0000211102317717238+0,00230521550056766i</v>
      </c>
      <c r="BD535" s="32">
        <f t="shared" si="519"/>
        <v>-52.74540518571</v>
      </c>
      <c r="BE535" s="31">
        <f t="shared" si="520"/>
        <v>90.5246769230557</v>
      </c>
      <c r="BF535" s="30" t="str">
        <f t="shared" si="521"/>
        <v>-0,00243370285644503-0,0035788021323597i</v>
      </c>
      <c r="BG535" s="68">
        <f t="shared" si="522"/>
        <v>-47.2744519675866</v>
      </c>
      <c r="BH535" s="31">
        <f t="shared" si="523"/>
        <v>-124.216987431121</v>
      </c>
      <c r="BI535" s="30" t="str">
        <f t="shared" si="476"/>
        <v>0,126856283654196+0,00890793335781621i</v>
      </c>
      <c r="BJ535" s="68">
        <f t="shared" si="524"/>
        <v>-17.912398127324</v>
      </c>
      <c r="BK535" s="31">
        <f t="shared" si="477"/>
        <v>4.01675461249856</v>
      </c>
      <c r="BL535" s="32">
        <f t="shared" si="525"/>
        <v>-47.2744519675866</v>
      </c>
      <c r="BM535" s="31">
        <f t="shared" si="526"/>
        <v>-124.216987431121</v>
      </c>
      <c r="BO535">
        <f t="shared" si="527"/>
        <v>0</v>
      </c>
      <c r="BP535">
        <f t="shared" si="528"/>
        <v>0</v>
      </c>
    </row>
    <row r="536" spans="14:68">
      <c r="N536" s="7">
        <v>18</v>
      </c>
      <c r="O536" s="18">
        <f t="shared" si="478"/>
        <v>1513561.24843621</v>
      </c>
      <c r="P536" s="86" t="str">
        <f t="shared" si="479"/>
        <v>75</v>
      </c>
      <c r="Q536" s="4" t="str">
        <f t="shared" si="480"/>
        <v>1+15532,976802895i</v>
      </c>
      <c r="R536" s="4">
        <f t="shared" si="491"/>
        <v>15532.9768350846</v>
      </c>
      <c r="S536" s="4">
        <f t="shared" si="492"/>
        <v>1.57073194763491</v>
      </c>
      <c r="T536" s="4" t="str">
        <f t="shared" si="481"/>
        <v>1+149,116577307792i</v>
      </c>
      <c r="U536" s="4">
        <f t="shared" si="493"/>
        <v>149.119930351347</v>
      </c>
      <c r="V536" s="4">
        <f t="shared" si="494"/>
        <v>1.56409026481583</v>
      </c>
      <c r="W536" t="str">
        <f t="shared" si="482"/>
        <v>1-78,2196331860068i</v>
      </c>
      <c r="X536" s="4">
        <f t="shared" si="495"/>
        <v>78.226025181863</v>
      </c>
      <c r="Y536" s="4">
        <f t="shared" si="496"/>
        <v>-1.55801250918612</v>
      </c>
      <c r="Z536" t="str">
        <f t="shared" si="483"/>
        <v>-17,7009604307575+24,5454674251827i</v>
      </c>
      <c r="AA536" s="4">
        <f t="shared" si="497"/>
        <v>30.2622532421488</v>
      </c>
      <c r="AB536" s="4">
        <f t="shared" si="498"/>
        <v>2.19557625182697</v>
      </c>
      <c r="AC536" s="67" t="str">
        <f t="shared" si="499"/>
        <v>-1,5162595766074+1,07935623539316i</v>
      </c>
      <c r="AD536" s="68">
        <f t="shared" si="500"/>
        <v>5.39584526412311</v>
      </c>
      <c r="AE536" s="31">
        <f t="shared" si="501"/>
        <v>144.554665571812</v>
      </c>
      <c r="AF536" s="32" t="str">
        <f t="shared" si="502"/>
        <v>249,914648392112</v>
      </c>
      <c r="AG536" s="32" t="str">
        <f t="shared" si="484"/>
        <v>1+9985,48508757533i</v>
      </c>
      <c r="AH536" s="32">
        <f t="shared" si="503"/>
        <v>9985.48513764801</v>
      </c>
      <c r="AI536" s="32">
        <f t="shared" si="504"/>
        <v>1.57069618143512</v>
      </c>
      <c r="AJ536" s="32" t="str">
        <f t="shared" si="485"/>
        <v>1+149,116577307792i</v>
      </c>
      <c r="AK536" s="32">
        <f t="shared" si="505"/>
        <v>149.119930351347</v>
      </c>
      <c r="AL536" s="32">
        <f t="shared" si="506"/>
        <v>1.56409026481583</v>
      </c>
      <c r="AM536" s="32" t="str">
        <f t="shared" si="486"/>
        <v>1-15,0902144332911i</v>
      </c>
      <c r="AN536" s="32">
        <f t="shared" si="507"/>
        <v>15.1233121915375</v>
      </c>
      <c r="AO536" s="32">
        <f t="shared" si="508"/>
        <v>-1.50462496597592</v>
      </c>
      <c r="AP536" s="30" t="str">
        <f t="shared" si="509"/>
        <v>3,36002641002469-56,3422581063184i</v>
      </c>
      <c r="AQ536" s="32">
        <f t="shared" si="510"/>
        <v>35.0321030481461</v>
      </c>
      <c r="AR536" s="31">
        <f t="shared" si="511"/>
        <v>-86.5871514425361</v>
      </c>
      <c r="AS536" t="str">
        <f t="shared" si="487"/>
        <v>-0,000100699300699301</v>
      </c>
      <c r="AT536" t="str">
        <f t="shared" si="488"/>
        <v>2,13689380874112i</v>
      </c>
      <c r="AU536">
        <f t="shared" si="512"/>
        <v>2.13689380874112</v>
      </c>
      <c r="AV536">
        <f t="shared" si="513"/>
        <v>1.5707963267949</v>
      </c>
      <c r="AW536" t="str">
        <f t="shared" si="489"/>
        <v>1+109,405043555989i</v>
      </c>
      <c r="AX536">
        <f t="shared" si="514"/>
        <v>109.409613633756</v>
      </c>
      <c r="AY536">
        <f t="shared" si="515"/>
        <v>1.56165623489191</v>
      </c>
      <c r="AZ536" t="str">
        <f t="shared" si="490"/>
        <v>1+5230,49218872993i</v>
      </c>
      <c r="BA536">
        <f t="shared" si="516"/>
        <v>5230.49228432323</v>
      </c>
      <c r="BB536">
        <f t="shared" si="517"/>
        <v>1.57060514020065</v>
      </c>
      <c r="BC536" s="30" t="str">
        <f t="shared" si="518"/>
        <v>-0,0000201601942029656+0,00225275107315151i</v>
      </c>
      <c r="BD536" s="32">
        <f t="shared" si="519"/>
        <v>-52.9453880947491</v>
      </c>
      <c r="BE536" s="31">
        <f t="shared" si="520"/>
        <v>90.5127345054526</v>
      </c>
      <c r="BF536" s="30" t="str">
        <f t="shared" si="521"/>
        <v>-0,0024009528300682-0,00343751541969828i</v>
      </c>
      <c r="BG536" s="68">
        <f t="shared" si="522"/>
        <v>-47.549542830626</v>
      </c>
      <c r="BH536" s="31">
        <f t="shared" si="523"/>
        <v>-124.932599922735</v>
      </c>
      <c r="BI536" s="30" t="str">
        <f t="shared" si="476"/>
        <v>0,126857343627835+0,00870517396625753i</v>
      </c>
      <c r="BJ536" s="68">
        <f t="shared" si="524"/>
        <v>-17.913285046603</v>
      </c>
      <c r="BK536" s="31">
        <f t="shared" si="477"/>
        <v>3.92558306291648</v>
      </c>
      <c r="BL536" s="32">
        <f t="shared" si="525"/>
        <v>-47.549542830626</v>
      </c>
      <c r="BM536" s="31">
        <f t="shared" si="526"/>
        <v>-124.932599922735</v>
      </c>
      <c r="BO536">
        <f t="shared" si="527"/>
        <v>0</v>
      </c>
      <c r="BP536">
        <f t="shared" si="528"/>
        <v>0</v>
      </c>
    </row>
    <row r="537" spans="14:68">
      <c r="N537" s="7">
        <v>19</v>
      </c>
      <c r="O537" s="18">
        <f t="shared" si="478"/>
        <v>1548816.61891249</v>
      </c>
      <c r="P537" s="86" t="str">
        <f t="shared" si="479"/>
        <v>75</v>
      </c>
      <c r="Q537" s="4" t="str">
        <f t="shared" si="480"/>
        <v>1+15894,786311662i</v>
      </c>
      <c r="R537" s="4">
        <f t="shared" si="491"/>
        <v>15894.7863431189</v>
      </c>
      <c r="S537" s="4">
        <f t="shared" si="492"/>
        <v>1.5707334130835</v>
      </c>
      <c r="T537" s="4" t="str">
        <f t="shared" si="481"/>
        <v>1+152,589948591955i</v>
      </c>
      <c r="U537" s="4">
        <f t="shared" si="493"/>
        <v>152.593225312579</v>
      </c>
      <c r="V537" s="4">
        <f t="shared" si="494"/>
        <v>1.56424290900149</v>
      </c>
      <c r="W537" t="str">
        <f t="shared" si="482"/>
        <v>1-80,0416024980122i</v>
      </c>
      <c r="X537" s="4">
        <f t="shared" si="495"/>
        <v>80.0478490057652</v>
      </c>
      <c r="Y537" s="4">
        <f t="shared" si="496"/>
        <v>-1.55830347377273</v>
      </c>
      <c r="Z537" t="str">
        <f t="shared" si="483"/>
        <v>-18,5823095430166+25,1172048084451i</v>
      </c>
      <c r="AA537" s="4">
        <f t="shared" si="497"/>
        <v>31.2438186741292</v>
      </c>
      <c r="AB537" s="4">
        <f t="shared" si="498"/>
        <v>2.20775288633047</v>
      </c>
      <c r="AC537" s="67" t="str">
        <f t="shared" si="499"/>
        <v>-1,48953622989306+1,08822124394481i</v>
      </c>
      <c r="AD537" s="68">
        <f t="shared" si="500"/>
        <v>5.31854758346969</v>
      </c>
      <c r="AE537" s="31">
        <f t="shared" si="501"/>
        <v>143.848986666874</v>
      </c>
      <c r="AF537" s="32" t="str">
        <f t="shared" si="502"/>
        <v>249,914648392112</v>
      </c>
      <c r="AG537" s="32" t="str">
        <f t="shared" si="484"/>
        <v>1+10218,0769146398i</v>
      </c>
      <c r="AH537" s="32">
        <f t="shared" si="503"/>
        <v>10218.0769635727</v>
      </c>
      <c r="AI537" s="32">
        <f t="shared" si="504"/>
        <v>1.5706984610218</v>
      </c>
      <c r="AJ537" s="32" t="str">
        <f t="shared" si="485"/>
        <v>1+152,589948591955i</v>
      </c>
      <c r="AK537" s="32">
        <f t="shared" si="505"/>
        <v>152.593225312579</v>
      </c>
      <c r="AL537" s="32">
        <f t="shared" si="506"/>
        <v>1.56424290900149</v>
      </c>
      <c r="AM537" s="32" t="str">
        <f t="shared" si="486"/>
        <v>1-15,4417106816007i</v>
      </c>
      <c r="AN537" s="32">
        <f t="shared" si="507"/>
        <v>15.4740566360041</v>
      </c>
      <c r="AO537" s="32">
        <f t="shared" si="508"/>
        <v>-1.50612696537097</v>
      </c>
      <c r="AP537" s="30" t="str">
        <f t="shared" si="509"/>
        <v>3,360026298734-57,6535007125489i</v>
      </c>
      <c r="AQ537" s="32">
        <f t="shared" si="510"/>
        <v>35.231239552913</v>
      </c>
      <c r="AR537" s="31">
        <f t="shared" si="511"/>
        <v>-86.6645944117938</v>
      </c>
      <c r="AS537" t="str">
        <f t="shared" si="487"/>
        <v>-0,000100699300699301</v>
      </c>
      <c r="AT537" t="str">
        <f t="shared" si="488"/>
        <v>2,18666845973293i</v>
      </c>
      <c r="AU537">
        <f t="shared" si="512"/>
        <v>2.18666845973293</v>
      </c>
      <c r="AV537">
        <f t="shared" si="513"/>
        <v>1.5707963267949</v>
      </c>
      <c r="AW537" t="str">
        <f t="shared" si="489"/>
        <v>1+111,953414391015i</v>
      </c>
      <c r="AX537">
        <f t="shared" si="514"/>
        <v>111.95788044531</v>
      </c>
      <c r="AY537">
        <f t="shared" si="515"/>
        <v>1.56186427758975</v>
      </c>
      <c r="AZ537" t="str">
        <f t="shared" si="490"/>
        <v>1+5352,32600290658i</v>
      </c>
      <c r="BA537">
        <f t="shared" si="516"/>
        <v>5352.32609632391</v>
      </c>
      <c r="BB537">
        <f t="shared" si="517"/>
        <v>1.57060949213875</v>
      </c>
      <c r="BC537" s="30" t="str">
        <f t="shared" si="518"/>
        <v>-0,0000192529083850605+0,00220148030236887i</v>
      </c>
      <c r="BD537" s="32">
        <f t="shared" si="519"/>
        <v>-53.1453717729454</v>
      </c>
      <c r="BE537" s="31">
        <f t="shared" si="520"/>
        <v>90.5010638845936</v>
      </c>
      <c r="BF537" s="30" t="str">
        <f t="shared" si="521"/>
        <v>-0,00236701972859349-0,00330013609368671i</v>
      </c>
      <c r="BG537" s="68">
        <f t="shared" si="522"/>
        <v>-47.8268241894757</v>
      </c>
      <c r="BH537" s="31">
        <f t="shared" si="523"/>
        <v>-125.649949448532</v>
      </c>
      <c r="BI537" s="30" t="str">
        <f t="shared" si="476"/>
        <v>0,126858355902785+0,00850702927940101i</v>
      </c>
      <c r="BJ537" s="68">
        <f t="shared" si="524"/>
        <v>-17.9141322200324</v>
      </c>
      <c r="BK537" s="31">
        <f t="shared" si="477"/>
        <v>3.83646947279974</v>
      </c>
      <c r="BL537" s="32">
        <f t="shared" si="525"/>
        <v>-47.8268241894757</v>
      </c>
      <c r="BM537" s="31">
        <f t="shared" si="526"/>
        <v>-125.649949448532</v>
      </c>
      <c r="BO537">
        <f t="shared" si="527"/>
        <v>0</v>
      </c>
      <c r="BP537">
        <f t="shared" si="528"/>
        <v>0</v>
      </c>
    </row>
    <row r="538" spans="14:68">
      <c r="N538" s="7">
        <v>20</v>
      </c>
      <c r="O538" s="18">
        <f t="shared" si="478"/>
        <v>1584893.19246112</v>
      </c>
      <c r="P538" s="86" t="str">
        <f t="shared" si="479"/>
        <v>75</v>
      </c>
      <c r="Q538" s="4" t="str">
        <f t="shared" si="480"/>
        <v>1+16265,0234465237i</v>
      </c>
      <c r="R538" s="4">
        <f t="shared" si="491"/>
        <v>16265.0234772645</v>
      </c>
      <c r="S538" s="4">
        <f t="shared" si="492"/>
        <v>1.57073484517441</v>
      </c>
      <c r="T538" s="4" t="str">
        <f t="shared" si="481"/>
        <v>1+156,144225086628i</v>
      </c>
      <c r="U538" s="4">
        <f t="shared" si="493"/>
        <v>156.147427221532</v>
      </c>
      <c r="V538" s="4">
        <f t="shared" si="494"/>
        <v>1.56439207887638</v>
      </c>
      <c r="W538" t="str">
        <f t="shared" si="482"/>
        <v>1-81,9060109271374i</v>
      </c>
      <c r="X538" s="4">
        <f t="shared" si="495"/>
        <v>81.9121152577343</v>
      </c>
      <c r="Y538" s="4">
        <f t="shared" si="496"/>
        <v>-1.55858781724085</v>
      </c>
      <c r="Z538" t="str">
        <f t="shared" si="483"/>
        <v>-19,5051953592622+25,7022596661623i</v>
      </c>
      <c r="AA538" s="4">
        <f t="shared" si="497"/>
        <v>32.2654427824851</v>
      </c>
      <c r="AB538" s="4">
        <f t="shared" si="498"/>
        <v>2.21996298516343</v>
      </c>
      <c r="AC538" s="67" t="str">
        <f t="shared" si="499"/>
        <v>-1,46253778235101+1,0964459197769i</v>
      </c>
      <c r="AD538" s="68">
        <f t="shared" si="500"/>
        <v>5.2390382711381</v>
      </c>
      <c r="AE538" s="31">
        <f t="shared" si="501"/>
        <v>143.141572607149</v>
      </c>
      <c r="AF538" s="32" t="str">
        <f t="shared" si="502"/>
        <v>249,914648392112</v>
      </c>
      <c r="AG538" s="32" t="str">
        <f t="shared" si="484"/>
        <v>1+10456,0865013367i</v>
      </c>
      <c r="AH538" s="32">
        <f t="shared" si="503"/>
        <v>10456.0865491557</v>
      </c>
      <c r="AI538" s="32">
        <f t="shared" si="504"/>
        <v>1.57070068871876</v>
      </c>
      <c r="AJ538" s="32" t="str">
        <f t="shared" si="485"/>
        <v>1+156,144225086628i</v>
      </c>
      <c r="AK538" s="32">
        <f t="shared" si="505"/>
        <v>156.147427221532</v>
      </c>
      <c r="AL538" s="32">
        <f t="shared" si="506"/>
        <v>1.56439207887638</v>
      </c>
      <c r="AM538" s="32" t="str">
        <f t="shared" si="486"/>
        <v>1-15,8013943293089i</v>
      </c>
      <c r="AN538" s="32">
        <f t="shared" si="507"/>
        <v>15.8330054869666</v>
      </c>
      <c r="AO538" s="32">
        <f t="shared" si="508"/>
        <v>-1.50759505748427</v>
      </c>
      <c r="AP538" s="30" t="str">
        <f t="shared" si="509"/>
        <v>3,36002619245219-58,9953119679903i</v>
      </c>
      <c r="AQ538" s="32">
        <f t="shared" si="510"/>
        <v>35.4304147642968</v>
      </c>
      <c r="AR538" s="31">
        <f t="shared" si="511"/>
        <v>-86.7402907271937</v>
      </c>
      <c r="AS538" t="str">
        <f t="shared" si="487"/>
        <v>-0,000100699300699301</v>
      </c>
      <c r="AT538" t="str">
        <f t="shared" si="488"/>
        <v>2,23760251128605i</v>
      </c>
      <c r="AU538">
        <f t="shared" si="512"/>
        <v>2.23760251128605</v>
      </c>
      <c r="AV538">
        <f t="shared" si="513"/>
        <v>1.5707963267949</v>
      </c>
      <c r="AW538" t="str">
        <f t="shared" si="489"/>
        <v>1+114,561144408228i</v>
      </c>
      <c r="AX538">
        <f t="shared" si="514"/>
        <v>114.565508806634</v>
      </c>
      <c r="AY538">
        <f t="shared" si="515"/>
        <v>1.56206758540478</v>
      </c>
      <c r="AZ538" t="str">
        <f t="shared" si="490"/>
        <v>1+5476,99769117636i</v>
      </c>
      <c r="BA538">
        <f t="shared" si="516"/>
        <v>5476.99778246725</v>
      </c>
      <c r="BB538">
        <f t="shared" si="517"/>
        <v>1.57061374501465</v>
      </c>
      <c r="BC538" s="30" t="str">
        <f t="shared" si="518"/>
        <v>-0,0000183864507866434+0,00215137605595232i</v>
      </c>
      <c r="BD538" s="32">
        <f t="shared" si="519"/>
        <v>-53.3453561856864</v>
      </c>
      <c r="BE538" s="31">
        <f t="shared" si="520"/>
        <v>90.4896588766906</v>
      </c>
      <c r="BF538" s="30" t="str">
        <f t="shared" si="521"/>
        <v>-0,00233197661949584-0,00316662851481976i</v>
      </c>
      <c r="BG538" s="68">
        <f t="shared" si="522"/>
        <v>-48.1063179145483</v>
      </c>
      <c r="BH538" s="31">
        <f t="shared" si="523"/>
        <v>-126.36876851616</v>
      </c>
      <c r="BI538" s="30" t="str">
        <f t="shared" si="476"/>
        <v>0,126859322625142+0,00831339429795641i</v>
      </c>
      <c r="BJ538" s="68">
        <f t="shared" si="524"/>
        <v>-17.9149414213896</v>
      </c>
      <c r="BK538" s="31">
        <f t="shared" si="477"/>
        <v>3.74936814949689</v>
      </c>
      <c r="BL538" s="32">
        <f t="shared" si="525"/>
        <v>-48.1063179145483</v>
      </c>
      <c r="BM538" s="31">
        <f t="shared" si="526"/>
        <v>-126.36876851616</v>
      </c>
      <c r="BO538">
        <f t="shared" si="527"/>
        <v>0</v>
      </c>
      <c r="BP538">
        <f t="shared" si="528"/>
        <v>0</v>
      </c>
    </row>
    <row r="539" spans="14:68">
      <c r="N539" s="7">
        <v>21</v>
      </c>
      <c r="O539" s="18">
        <f t="shared" si="478"/>
        <v>1621810.09735893</v>
      </c>
      <c r="P539" s="86" t="str">
        <f t="shared" si="479"/>
        <v>75</v>
      </c>
      <c r="Q539" s="4" t="str">
        <f t="shared" si="480"/>
        <v>1+16643,8845121098i</v>
      </c>
      <c r="R539" s="4">
        <f t="shared" si="491"/>
        <v>16643.8845421509</v>
      </c>
      <c r="S539" s="4">
        <f t="shared" si="492"/>
        <v>1.57073624466695</v>
      </c>
      <c r="T539" s="4" t="str">
        <f t="shared" si="481"/>
        <v>1+159,781291316254i</v>
      </c>
      <c r="U539" s="4">
        <f t="shared" si="493"/>
        <v>159.784420563113</v>
      </c>
      <c r="V539" s="4">
        <f t="shared" si="494"/>
        <v>1.56453785350578</v>
      </c>
      <c r="W539" t="str">
        <f t="shared" si="482"/>
        <v>1-83,8138470074101i</v>
      </c>
      <c r="X539" s="4">
        <f t="shared" si="495"/>
        <v>83.8198123964827</v>
      </c>
      <c r="Y539" s="4">
        <f t="shared" si="496"/>
        <v>-1.55886569016913</v>
      </c>
      <c r="Z539" t="str">
        <f t="shared" si="483"/>
        <v>-20,4715754440439+26,300942202164i</v>
      </c>
      <c r="AA539" s="4">
        <f t="shared" si="497"/>
        <v>33.3290408185227</v>
      </c>
      <c r="AB539" s="4">
        <f t="shared" si="498"/>
        <v>2.2322015486268</v>
      </c>
      <c r="AC539" s="67" t="str">
        <f t="shared" si="499"/>
        <v>-1,43528996724772+1,10401746116357i</v>
      </c>
      <c r="AD539" s="68">
        <f t="shared" si="500"/>
        <v>5.15729740578244</v>
      </c>
      <c r="AE539" s="31">
        <f t="shared" si="501"/>
        <v>142.432705713373</v>
      </c>
      <c r="AF539" s="32" t="str">
        <f t="shared" si="502"/>
        <v>249,914648392112</v>
      </c>
      <c r="AG539" s="32" t="str">
        <f t="shared" si="484"/>
        <v>1+10699,6400434992i</v>
      </c>
      <c r="AH539" s="32">
        <f t="shared" si="503"/>
        <v>10699.6400902297</v>
      </c>
      <c r="AI539" s="32">
        <f t="shared" si="504"/>
        <v>1.57070286570714</v>
      </c>
      <c r="AJ539" s="32" t="str">
        <f t="shared" si="485"/>
        <v>1+159,781291316254i</v>
      </c>
      <c r="AK539" s="32">
        <f t="shared" si="505"/>
        <v>159.784420563113</v>
      </c>
      <c r="AL539" s="32">
        <f t="shared" si="506"/>
        <v>1.56453785350578</v>
      </c>
      <c r="AM539" s="32" t="str">
        <f t="shared" si="486"/>
        <v>1-16,1694560854465i</v>
      </c>
      <c r="AN539" s="32">
        <f t="shared" si="507"/>
        <v>16.2003490733744</v>
      </c>
      <c r="AO539" s="32">
        <f t="shared" si="508"/>
        <v>-1.50902999539004</v>
      </c>
      <c r="AP539" s="30" t="str">
        <f t="shared" si="509"/>
        <v>3,36002609095385-60,3684033187307i</v>
      </c>
      <c r="AQ539" s="32">
        <f t="shared" si="510"/>
        <v>35.6296269539795</v>
      </c>
      <c r="AR539" s="31">
        <f t="shared" si="511"/>
        <v>-86.8142790742798</v>
      </c>
      <c r="AS539" t="str">
        <f t="shared" si="487"/>
        <v>-0,000100699300699301</v>
      </c>
      <c r="AT539" t="str">
        <f t="shared" si="488"/>
        <v>2,28972296930882i</v>
      </c>
      <c r="AU539">
        <f t="shared" si="512"/>
        <v>2.28972296930882</v>
      </c>
      <c r="AV539">
        <f t="shared" si="513"/>
        <v>1.5707963267949</v>
      </c>
      <c r="AW539" t="str">
        <f t="shared" si="489"/>
        <v>1+117,229616260603i</v>
      </c>
      <c r="AX539">
        <f t="shared" si="514"/>
        <v>117.233881316829</v>
      </c>
      <c r="AY539">
        <f t="shared" si="515"/>
        <v>1.56226626606621</v>
      </c>
      <c r="AZ539" t="str">
        <f t="shared" si="490"/>
        <v>1+5604,5733561186i</v>
      </c>
      <c r="BA539">
        <f t="shared" si="516"/>
        <v>5604.57344533146</v>
      </c>
      <c r="BB539">
        <f t="shared" si="517"/>
        <v>1.57061790108328</v>
      </c>
      <c r="BC539" s="30" t="str">
        <f t="shared" si="518"/>
        <v>-0,0000175589843954699+0,00210241181665949i</v>
      </c>
      <c r="BD539" s="32">
        <f t="shared" si="519"/>
        <v>-53.5453412999174</v>
      </c>
      <c r="BE539" s="31">
        <f t="shared" si="520"/>
        <v>90.4785134385117</v>
      </c>
      <c r="BF539" s="30" t="str">
        <f t="shared" si="521"/>
        <v>-0,00229589712201082-0,00303695601284732i</v>
      </c>
      <c r="BG539" s="68">
        <f t="shared" si="522"/>
        <v>-48.3880438941349</v>
      </c>
      <c r="BH539" s="31">
        <f t="shared" si="523"/>
        <v>-127.088780848116</v>
      </c>
      <c r="BI539" s="30" t="str">
        <f t="shared" si="476"/>
        <v>0,126860245844466+0,00812416640975859i</v>
      </c>
      <c r="BJ539" s="68">
        <f t="shared" si="524"/>
        <v>-17.9157143459378</v>
      </c>
      <c r="BK539" s="31">
        <f t="shared" si="477"/>
        <v>3.66423436423184</v>
      </c>
      <c r="BL539" s="32">
        <f t="shared" si="525"/>
        <v>-48.3880438941349</v>
      </c>
      <c r="BM539" s="31">
        <f t="shared" si="526"/>
        <v>-127.088780848116</v>
      </c>
      <c r="BO539">
        <f t="shared" si="527"/>
        <v>0</v>
      </c>
      <c r="BP539">
        <f t="shared" si="528"/>
        <v>0</v>
      </c>
    </row>
    <row r="540" spans="14:68">
      <c r="N540" s="7">
        <v>22</v>
      </c>
      <c r="O540" s="18">
        <f t="shared" si="478"/>
        <v>1659586.90743756</v>
      </c>
      <c r="P540" s="86" t="str">
        <f t="shared" si="479"/>
        <v>75</v>
      </c>
      <c r="Q540" s="4" t="str">
        <f t="shared" si="480"/>
        <v>1+17031,5703855722i</v>
      </c>
      <c r="R540" s="4">
        <f t="shared" si="491"/>
        <v>17031.5704149294</v>
      </c>
      <c r="S540" s="4">
        <f t="shared" si="492"/>
        <v>1.57073761230315</v>
      </c>
      <c r="T540" s="4" t="str">
        <f t="shared" si="481"/>
        <v>1+163,503075701493i</v>
      </c>
      <c r="U540" s="4">
        <f t="shared" si="493"/>
        <v>163.506133719344</v>
      </c>
      <c r="V540" s="4">
        <f t="shared" si="494"/>
        <v>1.56468031015652</v>
      </c>
      <c r="W540" t="str">
        <f t="shared" si="482"/>
        <v>1-85,7661222987742i</v>
      </c>
      <c r="X540" s="4">
        <f t="shared" si="495"/>
        <v>85.7719519083499</v>
      </c>
      <c r="Y540" s="4">
        <f t="shared" si="496"/>
        <v>-1.55913723971773</v>
      </c>
      <c r="Z540" t="str">
        <f t="shared" si="483"/>
        <v>-21,4834996190872+26,9135698458557i</v>
      </c>
      <c r="AA540" s="4">
        <f t="shared" si="497"/>
        <v>34.4366229141458</v>
      </c>
      <c r="AB540" s="4">
        <f t="shared" si="498"/>
        <v>2.24446344038872</v>
      </c>
      <c r="AC540" s="67" t="str">
        <f t="shared" si="499"/>
        <v>-1,40781946088334+1,11092440068911i</v>
      </c>
      <c r="AD540" s="68">
        <f t="shared" si="500"/>
        <v>5.07330713268176</v>
      </c>
      <c r="AE540" s="31">
        <f t="shared" si="501"/>
        <v>141.722676228574</v>
      </c>
      <c r="AF540" s="32" t="str">
        <f t="shared" si="502"/>
        <v>249,914648392112</v>
      </c>
      <c r="AG540" s="32" t="str">
        <f t="shared" si="484"/>
        <v>1+10948,8666764393i</v>
      </c>
      <c r="AH540" s="32">
        <f t="shared" si="503"/>
        <v>10948.8667221061</v>
      </c>
      <c r="AI540" s="32">
        <f t="shared" si="504"/>
        <v>1.57070499314122</v>
      </c>
      <c r="AJ540" s="32" t="str">
        <f t="shared" si="485"/>
        <v>1+163,503075701493i</v>
      </c>
      <c r="AK540" s="32">
        <f t="shared" si="505"/>
        <v>163.506133719344</v>
      </c>
      <c r="AL540" s="32">
        <f t="shared" si="506"/>
        <v>1.56468031015652</v>
      </c>
      <c r="AM540" s="32" t="str">
        <f t="shared" si="486"/>
        <v>1-16,5460911012289i</v>
      </c>
      <c r="AN540" s="32">
        <f t="shared" si="507"/>
        <v>16.5762821745458</v>
      </c>
      <c r="AO540" s="32">
        <f t="shared" si="508"/>
        <v>-1.5104325162612</v>
      </c>
      <c r="AP540" s="30" t="str">
        <f t="shared" si="509"/>
        <v>3,3600259940237-61,7735027959814i</v>
      </c>
      <c r="AQ540" s="32">
        <f t="shared" si="510"/>
        <v>35.8288744702259</v>
      </c>
      <c r="AR540" s="31">
        <f t="shared" si="511"/>
        <v>-86.886597329019</v>
      </c>
      <c r="AS540" t="str">
        <f t="shared" si="487"/>
        <v>-0,000100699300699301</v>
      </c>
      <c r="AT540" t="str">
        <f t="shared" si="488"/>
        <v>2,343057468758i</v>
      </c>
      <c r="AU540">
        <f t="shared" si="512"/>
        <v>2.343057468758</v>
      </c>
      <c r="AV540">
        <f t="shared" si="513"/>
        <v>1.5707963267949</v>
      </c>
      <c r="AW540" t="str">
        <f t="shared" si="489"/>
        <v>1+119,960244807237i</v>
      </c>
      <c r="AX540">
        <f t="shared" si="514"/>
        <v>119.964412782342</v>
      </c>
      <c r="AY540">
        <f t="shared" si="515"/>
        <v>1.56246042485439</v>
      </c>
      <c r="AZ540" t="str">
        <f t="shared" si="490"/>
        <v>1+5735,12064003961i</v>
      </c>
      <c r="BA540">
        <f t="shared" si="516"/>
        <v>5735.12072722173</v>
      </c>
      <c r="BB540">
        <f t="shared" si="517"/>
        <v>1.57062196254824</v>
      </c>
      <c r="BC540" s="30" t="str">
        <f t="shared" si="518"/>
        <v>-0,0000167687548291718+0,00205456166844573i</v>
      </c>
      <c r="BD540" s="32">
        <f t="shared" si="519"/>
        <v>-53.7453270840707</v>
      </c>
      <c r="BE540" s="31">
        <f t="shared" si="520"/>
        <v>90.4676216641947</v>
      </c>
      <c r="BF540" s="30" t="str">
        <f t="shared" si="521"/>
        <v>-0,0022588553108136-0,00291108071933174i</v>
      </c>
      <c r="BG540" s="68">
        <f t="shared" si="522"/>
        <v>-48.6720199513889</v>
      </c>
      <c r="BH540" s="31">
        <f t="shared" si="523"/>
        <v>-127.809702107231</v>
      </c>
      <c r="BI540" s="30" t="str">
        <f t="shared" si="476"/>
        <v>0,126861127518135+0,00793924533562733i</v>
      </c>
      <c r="BJ540" s="68">
        <f t="shared" si="524"/>
        <v>-17.9164526138447</v>
      </c>
      <c r="BK540" s="31">
        <f t="shared" si="477"/>
        <v>3.58102433517579</v>
      </c>
      <c r="BL540" s="32">
        <f t="shared" si="525"/>
        <v>-48.6720199513889</v>
      </c>
      <c r="BM540" s="31">
        <f t="shared" si="526"/>
        <v>-127.809702107231</v>
      </c>
      <c r="BO540">
        <f t="shared" si="527"/>
        <v>0</v>
      </c>
      <c r="BP540">
        <f t="shared" si="528"/>
        <v>0</v>
      </c>
    </row>
    <row r="541" spans="14:68">
      <c r="N541" s="7">
        <v>23</v>
      </c>
      <c r="O541" s="18">
        <f t="shared" si="478"/>
        <v>1698243.65246175</v>
      </c>
      <c r="P541" s="86" t="str">
        <f t="shared" si="479"/>
        <v>75</v>
      </c>
      <c r="Q541" s="4" t="str">
        <f t="shared" si="480"/>
        <v>1+17428,2866230925i</v>
      </c>
      <c r="R541" s="4">
        <f t="shared" si="491"/>
        <v>17428.2866517815</v>
      </c>
      <c r="S541" s="4">
        <f t="shared" si="492"/>
        <v>1.57073894880815</v>
      </c>
      <c r="T541" s="4" t="str">
        <f t="shared" si="481"/>
        <v>1+167,311551581689i</v>
      </c>
      <c r="U541" s="4">
        <f t="shared" si="493"/>
        <v>167.314539991814</v>
      </c>
      <c r="V541" s="4">
        <f t="shared" si="494"/>
        <v>1.56481952433787</v>
      </c>
      <c r="W541" t="str">
        <f t="shared" si="482"/>
        <v>1-87,7638719234303i</v>
      </c>
      <c r="X541" s="4">
        <f t="shared" si="495"/>
        <v>87.7695688436048</v>
      </c>
      <c r="Y541" s="4">
        <f t="shared" si="496"/>
        <v>-1.55940260970554</v>
      </c>
      <c r="Z541" t="str">
        <f t="shared" si="483"/>
        <v>-22,543114311238+27,5404674205229i</v>
      </c>
      <c r="AA541" s="4">
        <f t="shared" si="497"/>
        <v>35.5902985178606</v>
      </c>
      <c r="AB541" s="4">
        <f t="shared" si="498"/>
        <v>2.25674340081015</v>
      </c>
      <c r="AC541" s="67" t="str">
        <f t="shared" si="499"/>
        <v>-1,38015378909816+1,11715668351965i</v>
      </c>
      <c r="AD541" s="68">
        <f t="shared" si="500"/>
        <v>4.98705173929215</v>
      </c>
      <c r="AE541" s="31">
        <f t="shared" si="501"/>
        <v>141.011781552471</v>
      </c>
      <c r="AF541" s="32" t="str">
        <f t="shared" si="502"/>
        <v>249,914648392112</v>
      </c>
      <c r="AG541" s="32" t="str">
        <f t="shared" si="484"/>
        <v>1+11203,8985434166i</v>
      </c>
      <c r="AH541" s="32">
        <f t="shared" si="503"/>
        <v>11203.8985880439</v>
      </c>
      <c r="AI541" s="32">
        <f t="shared" si="504"/>
        <v>1.57070707214898</v>
      </c>
      <c r="AJ541" s="32" t="str">
        <f t="shared" si="485"/>
        <v>1+167,311551581689i</v>
      </c>
      <c r="AK541" s="32">
        <f t="shared" si="505"/>
        <v>167.314539991814</v>
      </c>
      <c r="AL541" s="32">
        <f t="shared" si="506"/>
        <v>1.56481952433787</v>
      </c>
      <c r="AM541" s="32" t="str">
        <f t="shared" si="486"/>
        <v>1-16,9314990735265i</v>
      </c>
      <c r="AN541" s="32">
        <f t="shared" si="507"/>
        <v>16.9610041234836</v>
      </c>
      <c r="AO541" s="32">
        <f t="shared" si="508"/>
        <v>-1.51180334164961</v>
      </c>
      <c r="AP541" s="30" t="str">
        <f t="shared" si="509"/>
        <v>3,36002590145617-63,211355402083i</v>
      </c>
      <c r="AQ541" s="32">
        <f t="shared" si="510"/>
        <v>36.0281557345416</v>
      </c>
      <c r="AR541" s="31">
        <f t="shared" si="511"/>
        <v>-86.9572825715554</v>
      </c>
      <c r="AS541" t="str">
        <f t="shared" si="487"/>
        <v>-0,000100699300699301</v>
      </c>
      <c r="AT541" t="str">
        <f t="shared" si="488"/>
        <v>2,39763428829115i</v>
      </c>
      <c r="AU541">
        <f t="shared" si="512"/>
        <v>2.39763428829115</v>
      </c>
      <c r="AV541">
        <f t="shared" si="513"/>
        <v>1.5707963267949</v>
      </c>
      <c r="AW541" t="str">
        <f t="shared" si="489"/>
        <v>1+122,75447786353i</v>
      </c>
      <c r="AX541">
        <f t="shared" si="514"/>
        <v>122.758550967124</v>
      </c>
      <c r="AY541">
        <f t="shared" si="515"/>
        <v>1.56265016465629</v>
      </c>
      <c r="AZ541" t="str">
        <f t="shared" si="490"/>
        <v>1+5868,70876083728i</v>
      </c>
      <c r="BA541">
        <f t="shared" si="516"/>
        <v>5868.7088460349</v>
      </c>
      <c r="BB541">
        <f t="shared" si="517"/>
        <v>1.57062593156299</v>
      </c>
      <c r="BC541" s="30" t="str">
        <f t="shared" si="518"/>
        <v>-0,000016014086620636+0,00200780028293981i</v>
      </c>
      <c r="BD541" s="32">
        <f t="shared" si="519"/>
        <v>-53.945313507999</v>
      </c>
      <c r="BE541" s="31">
        <f t="shared" si="520"/>
        <v>90.4569777821337</v>
      </c>
      <c r="BF541" s="30" t="str">
        <f t="shared" si="521"/>
        <v>-0,00222092560293044-0,00278896341215044i</v>
      </c>
      <c r="BG541" s="68">
        <f t="shared" si="522"/>
        <v>-48.9582617687069</v>
      </c>
      <c r="BH541" s="31">
        <f t="shared" si="523"/>
        <v>-128.531240665395</v>
      </c>
      <c r="BI541" s="30" t="str">
        <f t="shared" si="476"/>
        <v>0,126861969515478+0,00775853307644555i</v>
      </c>
      <c r="BJ541" s="68">
        <f t="shared" si="524"/>
        <v>-17.9171577734574</v>
      </c>
      <c r="BK541" s="31">
        <f t="shared" si="477"/>
        <v>3.49969521057837</v>
      </c>
      <c r="BL541" s="32">
        <f t="shared" si="525"/>
        <v>-48.9582617687069</v>
      </c>
      <c r="BM541" s="31">
        <f t="shared" si="526"/>
        <v>-128.531240665395</v>
      </c>
      <c r="BO541">
        <f t="shared" si="527"/>
        <v>0</v>
      </c>
      <c r="BP541">
        <f t="shared" si="528"/>
        <v>0</v>
      </c>
    </row>
    <row r="542" spans="14:68">
      <c r="N542" s="7">
        <v>24</v>
      </c>
      <c r="O542" s="18">
        <f t="shared" si="478"/>
        <v>1737800.82874938</v>
      </c>
      <c r="P542" s="86" t="str">
        <f t="shared" si="479"/>
        <v>75</v>
      </c>
      <c r="Q542" s="4" t="str">
        <f t="shared" si="480"/>
        <v>1+17834,2435688709i</v>
      </c>
      <c r="R542" s="4">
        <f t="shared" si="491"/>
        <v>17834.2435969069</v>
      </c>
      <c r="S542" s="4">
        <f t="shared" si="492"/>
        <v>1.57074025489058</v>
      </c>
      <c r="T542" s="4" t="str">
        <f t="shared" si="481"/>
        <v>1+171,208738261161i</v>
      </c>
      <c r="U542" s="4">
        <f t="shared" si="493"/>
        <v>171.21165864794</v>
      </c>
      <c r="V542" s="4">
        <f t="shared" si="494"/>
        <v>1.56495556984143</v>
      </c>
      <c r="W542" t="str">
        <f t="shared" si="482"/>
        <v>1-89,8081551146714i</v>
      </c>
      <c r="X542" s="4">
        <f t="shared" si="495"/>
        <v>89.8137223652426</v>
      </c>
      <c r="Y542" s="4">
        <f t="shared" si="496"/>
        <v>-1.55966194068564</v>
      </c>
      <c r="Z542" t="str">
        <f t="shared" si="483"/>
        <v>-23,6526671053228+28,1819673155573i</v>
      </c>
      <c r="AA542" s="4">
        <f t="shared" si="497"/>
        <v>36.7922810242904</v>
      </c>
      <c r="AB542" s="4">
        <f t="shared" si="498"/>
        <v>2.26903606095836</v>
      </c>
      <c r="AC542" s="67" t="str">
        <f t="shared" si="499"/>
        <v>-1,35232122639186+1,12270573787332i</v>
      </c>
      <c r="AD542" s="68">
        <f t="shared" si="500"/>
        <v>4.89851772278394</v>
      </c>
      <c r="AE542" s="31">
        <f t="shared" si="501"/>
        <v>140.300325436498</v>
      </c>
      <c r="AF542" s="32" t="str">
        <f t="shared" si="502"/>
        <v>249,914648392112</v>
      </c>
      <c r="AG542" s="32" t="str">
        <f t="shared" si="484"/>
        <v>1+11464,8708657027i</v>
      </c>
      <c r="AH542" s="32">
        <f t="shared" si="503"/>
        <v>11464.8709093142</v>
      </c>
      <c r="AI542" s="32">
        <f t="shared" si="504"/>
        <v>1.57070910383276</v>
      </c>
      <c r="AJ542" s="32" t="str">
        <f t="shared" si="485"/>
        <v>1+171,208738261161i</v>
      </c>
      <c r="AK542" s="32">
        <f t="shared" si="505"/>
        <v>171.21165864794</v>
      </c>
      <c r="AL542" s="32">
        <f t="shared" si="506"/>
        <v>1.56495556984143</v>
      </c>
      <c r="AM542" s="32" t="str">
        <f t="shared" si="486"/>
        <v>1-17,3258843507477i</v>
      </c>
      <c r="AN542" s="32">
        <f t="shared" si="507"/>
        <v>17.3547189126037</v>
      </c>
      <c r="AO542" s="32">
        <f t="shared" si="508"/>
        <v>-1.51314317776537</v>
      </c>
      <c r="AP542" s="30" t="str">
        <f t="shared" si="509"/>
        <v>3,36002581305482-64,6827235055182i</v>
      </c>
      <c r="AQ542" s="32">
        <f t="shared" si="510"/>
        <v>36.2274692384725</v>
      </c>
      <c r="AR542" s="31">
        <f t="shared" si="511"/>
        <v>-87.0263710999575</v>
      </c>
      <c r="AS542" t="str">
        <f t="shared" si="487"/>
        <v>-0,000100699300699301</v>
      </c>
      <c r="AT542" t="str">
        <f t="shared" si="488"/>
        <v>2,45348236526039i</v>
      </c>
      <c r="AU542">
        <f t="shared" si="512"/>
        <v>2.45348236526039</v>
      </c>
      <c r="AV542">
        <f t="shared" si="513"/>
        <v>1.5707963267949</v>
      </c>
      <c r="AW542" t="str">
        <f t="shared" si="489"/>
        <v>1+125,613796968833i</v>
      </c>
      <c r="AX542">
        <f t="shared" si="514"/>
        <v>125.617777360241</v>
      </c>
      <c r="AY542">
        <f t="shared" si="515"/>
        <v>1.56283558601979</v>
      </c>
      <c r="AZ542" t="str">
        <f t="shared" si="490"/>
        <v>1+6005,40854870142i</v>
      </c>
      <c r="BA542">
        <f t="shared" si="516"/>
        <v>6005.4086319597</v>
      </c>
      <c r="BB542">
        <f t="shared" si="517"/>
        <v>1.57062981023193</v>
      </c>
      <c r="BC542" s="30" t="str">
        <f t="shared" si="518"/>
        <v>-0,0000152933796701875+0,00196210290621679i</v>
      </c>
      <c r="BD542" s="32">
        <f t="shared" si="519"/>
        <v>-54.1453005429116</v>
      </c>
      <c r="BE542" s="31">
        <f t="shared" si="520"/>
        <v>90.4465761519343</v>
      </c>
      <c r="BF542" s="30" t="str">
        <f t="shared" si="521"/>
        <v>-0,00218218262915624-0,00267056337354932i</v>
      </c>
      <c r="BG542" s="68">
        <f t="shared" si="522"/>
        <v>-49.2467828201277</v>
      </c>
      <c r="BH542" s="31">
        <f t="shared" si="523"/>
        <v>-129.253098411568</v>
      </c>
      <c r="BI542" s="30" t="str">
        <f t="shared" si="476"/>
        <v>0,126862773621734+0,00758193386142995i</v>
      </c>
      <c r="BJ542" s="68">
        <f t="shared" si="524"/>
        <v>-17.9178313044391</v>
      </c>
      <c r="BK542" s="31">
        <f t="shared" si="477"/>
        <v>3.42020505197682</v>
      </c>
      <c r="BL542" s="32">
        <f t="shared" si="525"/>
        <v>-49.2467828201277</v>
      </c>
      <c r="BM542" s="31">
        <f t="shared" si="526"/>
        <v>-129.253098411568</v>
      </c>
      <c r="BO542">
        <f t="shared" si="527"/>
        <v>0</v>
      </c>
      <c r="BP542">
        <f t="shared" si="528"/>
        <v>0</v>
      </c>
    </row>
    <row r="543" spans="14:68">
      <c r="N543" s="7">
        <v>25</v>
      </c>
      <c r="O543" s="18">
        <f t="shared" si="478"/>
        <v>1778279.41003892</v>
      </c>
      <c r="P543" s="86" t="str">
        <f t="shared" si="479"/>
        <v>75</v>
      </c>
      <c r="Q543" s="4" t="str">
        <f t="shared" si="480"/>
        <v>1+18249,6564666536i</v>
      </c>
      <c r="R543" s="4">
        <f t="shared" si="491"/>
        <v>18249.6564940514</v>
      </c>
      <c r="S543" s="4">
        <f t="shared" si="492"/>
        <v>1.57074153124295</v>
      </c>
      <c r="T543" s="4" t="str">
        <f t="shared" si="481"/>
        <v>1+175,196702079875i</v>
      </c>
      <c r="U543" s="4">
        <f t="shared" si="493"/>
        <v>175.19955599163</v>
      </c>
      <c r="V543" s="4">
        <f t="shared" si="494"/>
        <v>1.56508851878017</v>
      </c>
      <c r="W543" t="str">
        <f t="shared" si="482"/>
        <v>1-91,9000557785057i</v>
      </c>
      <c r="X543" s="4">
        <f t="shared" si="495"/>
        <v>91.9054963105714</v>
      </c>
      <c r="Y543" s="4">
        <f t="shared" si="496"/>
        <v>-1.55991537001915</v>
      </c>
      <c r="Z543" t="str">
        <f t="shared" si="483"/>
        <v>-24,8145115115786+28,8384096626949i</v>
      </c>
      <c r="AA543" s="4">
        <f t="shared" si="497"/>
        <v>38.0448926063891</v>
      </c>
      <c r="AB543" s="4">
        <f t="shared" si="498"/>
        <v>2.28133595723148</v>
      </c>
      <c r="AC543" s="67" t="str">
        <f t="shared" si="499"/>
        <v>-1,32435068841896+1,12756453689585i</v>
      </c>
      <c r="AD543" s="68">
        <f t="shared" si="500"/>
        <v>4.80769384899966</v>
      </c>
      <c r="AE543" s="31">
        <f t="shared" si="501"/>
        <v>139.588617143861</v>
      </c>
      <c r="AF543" s="32" t="str">
        <f t="shared" si="502"/>
        <v>249,914648392112</v>
      </c>
      <c r="AG543" s="32" t="str">
        <f t="shared" si="484"/>
        <v>1+11731,9220142773i</v>
      </c>
      <c r="AH543" s="32">
        <f t="shared" si="503"/>
        <v>11731.9220568961</v>
      </c>
      <c r="AI543" s="32">
        <f t="shared" si="504"/>
        <v>1.57071108926976</v>
      </c>
      <c r="AJ543" s="32" t="str">
        <f t="shared" si="485"/>
        <v>1+175,196702079875i</v>
      </c>
      <c r="AK543" s="32">
        <f t="shared" si="505"/>
        <v>175.19955599163</v>
      </c>
      <c r="AL543" s="32">
        <f t="shared" si="506"/>
        <v>1.56508851878017</v>
      </c>
      <c r="AM543" s="32" t="str">
        <f t="shared" si="486"/>
        <v>1-17,7294560411868i</v>
      </c>
      <c r="AN543" s="32">
        <f t="shared" si="507"/>
        <v>17.7576353019307</v>
      </c>
      <c r="AO543" s="32">
        <f t="shared" si="508"/>
        <v>-1.51445271575467</v>
      </c>
      <c r="AP543" s="30" t="str">
        <f t="shared" si="509"/>
        <v>3,36002572863219-66,1883872451323i</v>
      </c>
      <c r="AQ543" s="32">
        <f t="shared" si="510"/>
        <v>36.4268135405409</v>
      </c>
      <c r="AR543" s="31">
        <f t="shared" si="511"/>
        <v>-87.0938984439368</v>
      </c>
      <c r="AS543" t="str">
        <f t="shared" si="487"/>
        <v>-0,000100699300699301</v>
      </c>
      <c r="AT543" t="str">
        <f t="shared" si="488"/>
        <v>2,51063131105535i</v>
      </c>
      <c r="AU543">
        <f t="shared" si="512"/>
        <v>2.51063131105535</v>
      </c>
      <c r="AV543">
        <f t="shared" si="513"/>
        <v>1.5707963267949</v>
      </c>
      <c r="AW543" t="str">
        <f t="shared" si="489"/>
        <v>1+128,539718171983i</v>
      </c>
      <c r="AX543">
        <f t="shared" si="514"/>
        <v>128.543607961395</v>
      </c>
      <c r="AY543">
        <f t="shared" si="515"/>
        <v>1.56301678720671</v>
      </c>
      <c r="AZ543" t="str">
        <f t="shared" si="490"/>
        <v>1+6145,29248366907i</v>
      </c>
      <c r="BA543">
        <f t="shared" si="516"/>
        <v>6145.29256503216</v>
      </c>
      <c r="BB543">
        <f t="shared" si="517"/>
        <v>1.57063360061159</v>
      </c>
      <c r="BC543" s="30" t="str">
        <f t="shared" si="518"/>
        <v>-0,000014605105857103+0,00191744534586203i</v>
      </c>
      <c r="BD543" s="32">
        <f t="shared" si="519"/>
        <v>-54.345288161313</v>
      </c>
      <c r="BE543" s="31">
        <f t="shared" si="520"/>
        <v>90.4364112614382</v>
      </c>
      <c r="BF543" s="30" t="str">
        <f t="shared" si="521"/>
        <v>-0,00214270109143374-0,00255583826322019i</v>
      </c>
      <c r="BG543" s="68">
        <f t="shared" si="522"/>
        <v>-49.5375943123133</v>
      </c>
      <c r="BH543" s="31">
        <f t="shared" si="523"/>
        <v>-129.9749715947</v>
      </c>
      <c r="BI543" s="30" t="str">
        <f t="shared" si="476"/>
        <v>0,126863541541843+0,00740935409756855i</v>
      </c>
      <c r="BJ543" s="68">
        <f t="shared" si="524"/>
        <v>-17.9184746207722</v>
      </c>
      <c r="BK543" s="31">
        <f t="shared" si="477"/>
        <v>3.34251281750147</v>
      </c>
      <c r="BL543" s="32">
        <f t="shared" si="525"/>
        <v>-49.5375943123133</v>
      </c>
      <c r="BM543" s="31">
        <f t="shared" si="526"/>
        <v>-129.9749715947</v>
      </c>
      <c r="BO543">
        <f t="shared" si="527"/>
        <v>0</v>
      </c>
      <c r="BP543">
        <f t="shared" si="528"/>
        <v>0</v>
      </c>
    </row>
    <row r="544" spans="14:68">
      <c r="N544" s="7">
        <v>26</v>
      </c>
      <c r="O544" s="18">
        <f t="shared" si="478"/>
        <v>1819700.85860998</v>
      </c>
      <c r="P544" s="86" t="str">
        <f t="shared" si="479"/>
        <v>75</v>
      </c>
      <c r="Q544" s="4" t="str">
        <f t="shared" si="480"/>
        <v>1+18674,7455738578i</v>
      </c>
      <c r="R544" s="4">
        <f t="shared" si="491"/>
        <v>18674.7456006319</v>
      </c>
      <c r="S544" s="4">
        <f t="shared" si="492"/>
        <v>1.57074277854199</v>
      </c>
      <c r="T544" s="4" t="str">
        <f t="shared" si="481"/>
        <v>1+179,277557509035i</v>
      </c>
      <c r="U544" s="4">
        <f t="shared" si="493"/>
        <v>179.28034645885</v>
      </c>
      <c r="V544" s="4">
        <f t="shared" si="494"/>
        <v>1.56521844162657</v>
      </c>
      <c r="W544" t="str">
        <f t="shared" si="482"/>
        <v>1-94,0406830683555i</v>
      </c>
      <c r="X544" s="4">
        <f t="shared" si="495"/>
        <v>94.0459997658746</v>
      </c>
      <c r="Y544" s="4">
        <f t="shared" si="496"/>
        <v>-1.56016303194736</v>
      </c>
      <c r="Z544" t="str">
        <f t="shared" si="483"/>
        <v>-26,0311119577626+29,5101425163573i</v>
      </c>
      <c r="AA544" s="4">
        <f t="shared" si="497"/>
        <v>39.3505692600919</v>
      </c>
      <c r="AB544" s="4">
        <f t="shared" si="498"/>
        <v>2.29363754651038</v>
      </c>
      <c r="AC544" s="67" t="str">
        <f t="shared" si="499"/>
        <v>-1,29627161871961+1,13172765123472i</v>
      </c>
      <c r="AD544" s="68">
        <f t="shared" si="500"/>
        <v>4.71457120233345</v>
      </c>
      <c r="AE544" s="31">
        <f t="shared" si="501"/>
        <v>138.876970579434</v>
      </c>
      <c r="AF544" s="32" t="str">
        <f t="shared" si="502"/>
        <v>249,914648392112</v>
      </c>
      <c r="AG544" s="32" t="str">
        <f t="shared" si="484"/>
        <v>1+12005,1935831943i</v>
      </c>
      <c r="AH544" s="32">
        <f t="shared" si="503"/>
        <v>12005.1936248429</v>
      </c>
      <c r="AI544" s="32">
        <f t="shared" si="504"/>
        <v>1.5707130295127</v>
      </c>
      <c r="AJ544" s="32" t="str">
        <f t="shared" si="485"/>
        <v>1+179,277557509035i</v>
      </c>
      <c r="AK544" s="32">
        <f t="shared" si="505"/>
        <v>179.28034645885</v>
      </c>
      <c r="AL544" s="32">
        <f t="shared" si="506"/>
        <v>1.56521844162657</v>
      </c>
      <c r="AM544" s="32" t="str">
        <f t="shared" si="486"/>
        <v>1-18,1424281238962i</v>
      </c>
      <c r="AN544" s="32">
        <f t="shared" si="507"/>
        <v>18.1699669298197</v>
      </c>
      <c r="AO544" s="32">
        <f t="shared" si="508"/>
        <v>-1.51573263197601</v>
      </c>
      <c r="AP544" s="30" t="str">
        <f t="shared" si="509"/>
        <v>3,36002564800919-67,7291449437705i</v>
      </c>
      <c r="AQ544" s="32">
        <f t="shared" si="510"/>
        <v>36.6261872633104</v>
      </c>
      <c r="AR544" s="31">
        <f t="shared" si="511"/>
        <v>-87.1598993785208</v>
      </c>
      <c r="AS544" t="str">
        <f t="shared" si="487"/>
        <v>-0,000100699300699301</v>
      </c>
      <c r="AT544" t="str">
        <f t="shared" si="488"/>
        <v>2,56911142680358i</v>
      </c>
      <c r="AU544">
        <f t="shared" si="512"/>
        <v>2.56911142680358</v>
      </c>
      <c r="AV544">
        <f t="shared" si="513"/>
        <v>1.5707963267949</v>
      </c>
      <c r="AW544" t="str">
        <f t="shared" si="489"/>
        <v>1+131,533792835134i</v>
      </c>
      <c r="AX544">
        <f t="shared" si="514"/>
        <v>131.537594084718</v>
      </c>
      <c r="AY544">
        <f t="shared" si="515"/>
        <v>1.56319386424471</v>
      </c>
      <c r="AZ544" t="str">
        <f t="shared" si="490"/>
        <v>1+6288,43473405416i</v>
      </c>
      <c r="BA544">
        <f t="shared" si="516"/>
        <v>6288.4348135652</v>
      </c>
      <c r="BB544">
        <f t="shared" si="517"/>
        <v>1.57063730471168</v>
      </c>
      <c r="BC544" s="30" t="str">
        <f t="shared" si="518"/>
        <v>-0,0000139478058033138+0,00187380395832018i</v>
      </c>
      <c r="BD544" s="32">
        <f t="shared" si="519"/>
        <v>-54.5452763369452</v>
      </c>
      <c r="BE544" s="31">
        <f t="shared" si="520"/>
        <v>90.4264777238145</v>
      </c>
      <c r="BF544" s="30" t="str">
        <f t="shared" si="521"/>
        <v>-0,00210255560781777-0,00244474400771657i</v>
      </c>
      <c r="BG544" s="68">
        <f t="shared" si="522"/>
        <v>-49.8307051346118</v>
      </c>
      <c r="BH544" s="31">
        <f t="shared" si="523"/>
        <v>-130.696551696751</v>
      </c>
      <c r="BI544" s="30" t="str">
        <f t="shared" si="476"/>
        <v>0,126864274904046+0,00724070232019715i</v>
      </c>
      <c r="BJ544" s="68">
        <f t="shared" si="524"/>
        <v>-17.9190890736348</v>
      </c>
      <c r="BK544" s="31">
        <f t="shared" si="477"/>
        <v>3.26657834529368</v>
      </c>
      <c r="BL544" s="32">
        <f t="shared" si="525"/>
        <v>-49.8307051346118</v>
      </c>
      <c r="BM544" s="31">
        <f t="shared" si="526"/>
        <v>-130.696551696751</v>
      </c>
      <c r="BO544">
        <f t="shared" si="527"/>
        <v>0</v>
      </c>
      <c r="BP544">
        <f t="shared" si="528"/>
        <v>0</v>
      </c>
    </row>
    <row r="545" spans="14:68">
      <c r="N545" s="7">
        <v>27</v>
      </c>
      <c r="O545" s="18">
        <f t="shared" si="478"/>
        <v>1862087.13666287</v>
      </c>
      <c r="P545" s="86" t="str">
        <f t="shared" si="479"/>
        <v>75</v>
      </c>
      <c r="Q545" s="4" t="str">
        <f t="shared" si="480"/>
        <v>1+19109,7362783549i</v>
      </c>
      <c r="R545" s="4">
        <f t="shared" si="491"/>
        <v>19109.7363045196</v>
      </c>
      <c r="S545" s="4">
        <f t="shared" si="492"/>
        <v>1.57074399744903</v>
      </c>
      <c r="T545" s="4" t="str">
        <f t="shared" si="481"/>
        <v>1+183,453468272207i</v>
      </c>
      <c r="U545" s="4">
        <f t="shared" si="493"/>
        <v>183.456193738728</v>
      </c>
      <c r="V545" s="4">
        <f t="shared" si="494"/>
        <v>1.56534540724988</v>
      </c>
      <c r="W545" t="str">
        <f t="shared" si="482"/>
        <v>1-96,2311719731443i</v>
      </c>
      <c r="X545" s="4">
        <f t="shared" si="495"/>
        <v>96.2363676544625</v>
      </c>
      <c r="Y545" s="4">
        <f t="shared" si="496"/>
        <v>-1.56040505766232</v>
      </c>
      <c r="Z545" t="str">
        <f t="shared" si="483"/>
        <v>-27,3050490165336+30,197522038195i</v>
      </c>
      <c r="AA545" s="4">
        <f t="shared" si="497"/>
        <v>40.7118660717312</v>
      </c>
      <c r="AB545" s="4">
        <f t="shared" si="498"/>
        <v>2.30593522174815</v>
      </c>
      <c r="AC545" s="67" t="str">
        <f t="shared" si="499"/>
        <v>-1,26811387062977+1,13519129170422i</v>
      </c>
      <c r="AD545" s="68">
        <f t="shared" si="500"/>
        <v>4.61914322610791</v>
      </c>
      <c r="AE545" s="31">
        <f t="shared" si="501"/>
        <v>138.165703394617</v>
      </c>
      <c r="AF545" s="32" t="str">
        <f t="shared" si="502"/>
        <v>249,914648392112</v>
      </c>
      <c r="AG545" s="32" t="str">
        <f t="shared" si="484"/>
        <v>1+12284,8304646567i</v>
      </c>
      <c r="AH545" s="32">
        <f t="shared" si="503"/>
        <v>12284.8305053573</v>
      </c>
      <c r="AI545" s="32">
        <f t="shared" si="504"/>
        <v>1.57071492559032</v>
      </c>
      <c r="AJ545" s="32" t="str">
        <f t="shared" si="485"/>
        <v>1+183,453468272207i</v>
      </c>
      <c r="AK545" s="32">
        <f t="shared" si="505"/>
        <v>183.456193738728</v>
      </c>
      <c r="AL545" s="32">
        <f t="shared" si="506"/>
        <v>1.56534540724988</v>
      </c>
      <c r="AM545" s="32" t="str">
        <f t="shared" si="486"/>
        <v>1-18,5650195621403i</v>
      </c>
      <c r="AN545" s="32">
        <f t="shared" si="507"/>
        <v>18.5919324262609</v>
      </c>
      <c r="AO545" s="32">
        <f t="shared" si="508"/>
        <v>-1.5169835882745</v>
      </c>
      <c r="AP545" s="30" t="str">
        <f t="shared" si="509"/>
        <v>3,36002557101484-69,3058135315586i</v>
      </c>
      <c r="AQ545" s="32">
        <f t="shared" si="510"/>
        <v>36.8255890905767</v>
      </c>
      <c r="AR545" s="31">
        <f t="shared" si="511"/>
        <v>-87.2244079376655</v>
      </c>
      <c r="AS545" t="str">
        <f t="shared" si="487"/>
        <v>-0,000100699300699301</v>
      </c>
      <c r="AT545" t="str">
        <f t="shared" si="488"/>
        <v>2,62895371943653i</v>
      </c>
      <c r="AU545">
        <f t="shared" si="512"/>
        <v>2.62895371943653</v>
      </c>
      <c r="AV545">
        <f t="shared" si="513"/>
        <v>1.5707963267949</v>
      </c>
      <c r="AW545" t="str">
        <f t="shared" si="489"/>
        <v>1+134,597608456302i</v>
      </c>
      <c r="AX545">
        <f t="shared" si="514"/>
        <v>134.601323181297</v>
      </c>
      <c r="AY545">
        <f t="shared" si="515"/>
        <v>1.56336691097792</v>
      </c>
      <c r="AZ545" t="str">
        <f t="shared" si="490"/>
        <v>1+6434,91119577256i</v>
      </c>
      <c r="BA545">
        <f t="shared" si="516"/>
        <v>6434.91127347371</v>
      </c>
      <c r="BB545">
        <f t="shared" si="517"/>
        <v>1.57064092449617</v>
      </c>
      <c r="BC545" s="30" t="str">
        <f t="shared" si="518"/>
        <v>-0,0000133200857824782+0,00183115563652367i</v>
      </c>
      <c r="BD545" s="32">
        <f t="shared" si="519"/>
        <v>-54.7452650447315</v>
      </c>
      <c r="BE545" s="31">
        <f t="shared" si="520"/>
        <v>90.4167702747166</v>
      </c>
      <c r="BF545" s="30" t="str">
        <f t="shared" si="521"/>
        <v>-0,00206182054679803-0,00233723470734257i</v>
      </c>
      <c r="BG545" s="68">
        <f t="shared" si="522"/>
        <v>-50.1261218186236</v>
      </c>
      <c r="BH545" s="31">
        <f t="shared" si="523"/>
        <v>-131.417526330667</v>
      </c>
      <c r="BI545" s="30" t="str">
        <f t="shared" si="476"/>
        <v>0,126864975263335+0,00707588914469229i</v>
      </c>
      <c r="BJ545" s="68">
        <f t="shared" si="524"/>
        <v>-17.9196759541549</v>
      </c>
      <c r="BK545" s="31">
        <f t="shared" si="477"/>
        <v>3.19236233705114</v>
      </c>
      <c r="BL545" s="32">
        <f t="shared" si="525"/>
        <v>-50.1261218186236</v>
      </c>
      <c r="BM545" s="31">
        <f t="shared" si="526"/>
        <v>-131.417526330667</v>
      </c>
      <c r="BO545">
        <f t="shared" si="527"/>
        <v>0</v>
      </c>
      <c r="BP545">
        <f t="shared" si="528"/>
        <v>0</v>
      </c>
    </row>
    <row r="546" spans="14:68">
      <c r="N546" s="7">
        <v>28</v>
      </c>
      <c r="O546" s="18">
        <f t="shared" si="478"/>
        <v>1905460.71796325</v>
      </c>
      <c r="P546" s="86" t="str">
        <f t="shared" si="479"/>
        <v>75</v>
      </c>
      <c r="Q546" s="4" t="str">
        <f t="shared" si="480"/>
        <v>1+19554,8592179738i</v>
      </c>
      <c r="R546" s="4">
        <f t="shared" si="491"/>
        <v>19554.8592435429</v>
      </c>
      <c r="S546" s="4">
        <f t="shared" si="492"/>
        <v>1.57074518861037</v>
      </c>
      <c r="T546" s="4" t="str">
        <f t="shared" si="481"/>
        <v>1+187,726648492549i</v>
      </c>
      <c r="U546" s="4">
        <f t="shared" si="493"/>
        <v>187.729311920768</v>
      </c>
      <c r="V546" s="4">
        <f t="shared" si="494"/>
        <v>1.56546948295259</v>
      </c>
      <c r="W546" t="str">
        <f t="shared" si="482"/>
        <v>1-98,4726839190826i</v>
      </c>
      <c r="X546" s="4">
        <f t="shared" si="495"/>
        <v>98.4777613384238</v>
      </c>
      <c r="Y546" s="4">
        <f t="shared" si="496"/>
        <v>-1.56064157537578</v>
      </c>
      <c r="Z546" t="str">
        <f t="shared" si="483"/>
        <v>-28,6390248791925+30,9009126859286i</v>
      </c>
      <c r="AA546" s="4">
        <f t="shared" si="497"/>
        <v>42.1314627191413</v>
      </c>
      <c r="AB546" s="4">
        <f t="shared" si="498"/>
        <v>2.31822332790201</v>
      </c>
      <c r="AC546" s="67" t="str">
        <f t="shared" si="499"/>
        <v>-1,23990758538631+1,13795334154336i</v>
      </c>
      <c r="AD546" s="68">
        <f t="shared" si="500"/>
        <v>4.52140575310026</v>
      </c>
      <c r="AE546" s="31">
        <f t="shared" si="501"/>
        <v>137.455136072618</v>
      </c>
      <c r="AF546" s="32" t="str">
        <f t="shared" si="502"/>
        <v>249,914648392112</v>
      </c>
      <c r="AG546" s="32" t="str">
        <f t="shared" si="484"/>
        <v>1+12570,9809258403i</v>
      </c>
      <c r="AH546" s="32">
        <f t="shared" si="503"/>
        <v>12570.9809656144</v>
      </c>
      <c r="AI546" s="32">
        <f t="shared" si="504"/>
        <v>1.57071677850795</v>
      </c>
      <c r="AJ546" s="32" t="str">
        <f t="shared" si="485"/>
        <v>1+187,726648492549i</v>
      </c>
      <c r="AK546" s="32">
        <f t="shared" si="505"/>
        <v>187.729311920768</v>
      </c>
      <c r="AL546" s="32">
        <f t="shared" si="506"/>
        <v>1.56546948295259</v>
      </c>
      <c r="AM546" s="32" t="str">
        <f t="shared" si="486"/>
        <v>1-18,9974544194933i</v>
      </c>
      <c r="AN546" s="32">
        <f t="shared" si="507"/>
        <v>19.0237555288309</v>
      </c>
      <c r="AO546" s="32">
        <f t="shared" si="508"/>
        <v>-1.51820623225395</v>
      </c>
      <c r="AP546" s="30" t="str">
        <f t="shared" si="509"/>
        <v>3,36002549748582-70,9192289790515i</v>
      </c>
      <c r="AQ546" s="32">
        <f t="shared" si="510"/>
        <v>37.0250177646782</v>
      </c>
      <c r="AR546" s="31">
        <f t="shared" si="511"/>
        <v>-87.28745742779</v>
      </c>
      <c r="AS546" t="str">
        <f t="shared" si="487"/>
        <v>-0,000100699300699301</v>
      </c>
      <c r="AT546" t="str">
        <f t="shared" si="488"/>
        <v>2,69018991812982i</v>
      </c>
      <c r="AU546">
        <f t="shared" si="512"/>
        <v>2.69018991812982</v>
      </c>
      <c r="AV546">
        <f t="shared" si="513"/>
        <v>1.5707963267949</v>
      </c>
      <c r="AW546" t="str">
        <f t="shared" si="489"/>
        <v>1+137,732789511083i</v>
      </c>
      <c r="AX546">
        <f t="shared" si="514"/>
        <v>137.736419680868</v>
      </c>
      <c r="AY546">
        <f t="shared" si="515"/>
        <v>1.56353601911654</v>
      </c>
      <c r="AZ546" t="str">
        <f t="shared" si="490"/>
        <v>1+6584,79953258302i</v>
      </c>
      <c r="BA546">
        <f t="shared" si="516"/>
        <v>6584.79960851547</v>
      </c>
      <c r="BB546">
        <f t="shared" si="517"/>
        <v>1.5706444618843</v>
      </c>
      <c r="BC546" s="30" t="str">
        <f t="shared" si="518"/>
        <v>-0,0000127206147679033+0,00178947779779444i</v>
      </c>
      <c r="BD546" s="32">
        <f t="shared" si="519"/>
        <v>-54.9452542607238</v>
      </c>
      <c r="BE546" s="31">
        <f t="shared" si="520"/>
        <v>90.4072837695031</v>
      </c>
      <c r="BF546" s="30" t="str">
        <f t="shared" si="521"/>
        <v>-0,00202056985287634-0,00223326256144734i</v>
      </c>
      <c r="BG546" s="68">
        <f t="shared" si="522"/>
        <v>-50.4238485076235</v>
      </c>
      <c r="BH546" s="31">
        <f t="shared" si="523"/>
        <v>-132.137580157879</v>
      </c>
      <c r="BI546" s="30" t="str">
        <f t="shared" si="476"/>
        <v>0,126865644104749+0,00691482721925333i</v>
      </c>
      <c r="BJ546" s="68">
        <f t="shared" si="524"/>
        <v>-17.9202364960456</v>
      </c>
      <c r="BK546" s="31">
        <f t="shared" si="477"/>
        <v>3.11982634171309</v>
      </c>
      <c r="BL546" s="32">
        <f t="shared" si="525"/>
        <v>-50.4238485076235</v>
      </c>
      <c r="BM546" s="31">
        <f t="shared" si="526"/>
        <v>-132.137580157879</v>
      </c>
      <c r="BO546">
        <f t="shared" si="527"/>
        <v>0</v>
      </c>
      <c r="BP546">
        <f t="shared" si="528"/>
        <v>0</v>
      </c>
    </row>
    <row r="547" spans="14:68">
      <c r="N547" s="7">
        <v>29</v>
      </c>
      <c r="O547" s="18">
        <f t="shared" si="478"/>
        <v>1949844.59975805</v>
      </c>
      <c r="P547" s="86" t="str">
        <f t="shared" si="479"/>
        <v>75</v>
      </c>
      <c r="Q547" s="4" t="str">
        <f t="shared" si="480"/>
        <v>1+20010,3504027892i</v>
      </c>
      <c r="R547" s="4">
        <f t="shared" si="491"/>
        <v>20010.3504277763</v>
      </c>
      <c r="S547" s="4">
        <f t="shared" si="492"/>
        <v>1.57074635265756</v>
      </c>
      <c r="T547" s="4" t="str">
        <f t="shared" si="481"/>
        <v>1+192,099363866777i</v>
      </c>
      <c r="U547" s="4">
        <f t="shared" si="493"/>
        <v>192.101966668799</v>
      </c>
      <c r="V547" s="4">
        <f t="shared" si="494"/>
        <v>1.56559073450597</v>
      </c>
      <c r="W547" t="str">
        <f t="shared" si="482"/>
        <v>1-100,766407385474i</v>
      </c>
      <c r="X547" s="4">
        <f t="shared" si="495"/>
        <v>100.771369234398</v>
      </c>
      <c r="Y547" s="4">
        <f t="shared" si="496"/>
        <v>-1.56087271038665</v>
      </c>
      <c r="Z547" t="str">
        <f t="shared" si="483"/>
        <v>-30,0358690873928+31,62068740659i</v>
      </c>
      <c r="AA547" s="4">
        <f t="shared" si="497"/>
        <v>43.6121692180093</v>
      </c>
      <c r="AB547" s="4">
        <f t="shared" si="498"/>
        <v>2.33049617810873</v>
      </c>
      <c r="AC547" s="67" t="str">
        <f t="shared" si="499"/>
        <v>-1,21168306750026+1,1400133778887i</v>
      </c>
      <c r="AD547" s="68">
        <f t="shared" si="500"/>
        <v>4.42135702595856</v>
      </c>
      <c r="AE547" s="31">
        <f t="shared" si="501"/>
        <v>136.745590999833</v>
      </c>
      <c r="AF547" s="32" t="str">
        <f t="shared" si="502"/>
        <v>249,914648392112</v>
      </c>
      <c r="AG547" s="32" t="str">
        <f t="shared" si="484"/>
        <v>1+12863,7966875074i</v>
      </c>
      <c r="AH547" s="32">
        <f t="shared" si="503"/>
        <v>12863.7967263762</v>
      </c>
      <c r="AI547" s="32">
        <f t="shared" si="504"/>
        <v>1.57071858924802</v>
      </c>
      <c r="AJ547" s="32" t="str">
        <f t="shared" si="485"/>
        <v>1+192,099363866777i</v>
      </c>
      <c r="AK547" s="32">
        <f t="shared" si="505"/>
        <v>192.101966668799</v>
      </c>
      <c r="AL547" s="32">
        <f t="shared" si="506"/>
        <v>1.56559073450597</v>
      </c>
      <c r="AM547" s="32" t="str">
        <f t="shared" si="486"/>
        <v>1-19,4399619786404i</v>
      </c>
      <c r="AN547" s="32">
        <f t="shared" si="507"/>
        <v>19.4656652013484</v>
      </c>
      <c r="AO547" s="32">
        <f t="shared" si="508"/>
        <v>-1.51940119754667</v>
      </c>
      <c r="AP547" s="30" t="str">
        <f t="shared" si="509"/>
        <v>3,36002542726611-72,5702467404744i</v>
      </c>
      <c r="AQ547" s="32">
        <f t="shared" si="510"/>
        <v>37.2244720839223</v>
      </c>
      <c r="AR547" s="31">
        <f t="shared" si="511"/>
        <v>-87.349080441223</v>
      </c>
      <c r="AS547" t="str">
        <f t="shared" si="487"/>
        <v>-0,000100699300699301</v>
      </c>
      <c r="AT547" t="str">
        <f t="shared" si="488"/>
        <v>2,75285249112658i</v>
      </c>
      <c r="AU547">
        <f t="shared" si="512"/>
        <v>2.75285249112658</v>
      </c>
      <c r="AV547">
        <f t="shared" si="513"/>
        <v>1.5707963267949</v>
      </c>
      <c r="AW547" t="str">
        <f t="shared" si="489"/>
        <v>1+140,94099831397i</v>
      </c>
      <c r="AX547">
        <f t="shared" si="514"/>
        <v>140.944545853107</v>
      </c>
      <c r="AY547">
        <f t="shared" si="515"/>
        <v>1.56370127828522</v>
      </c>
      <c r="AZ547" t="str">
        <f t="shared" si="490"/>
        <v>1+6738,17921726575i</v>
      </c>
      <c r="BA547">
        <f t="shared" si="516"/>
        <v>6738.17929146977</v>
      </c>
      <c r="BB547">
        <f t="shared" si="517"/>
        <v>1.57064791875165</v>
      </c>
      <c r="BC547" s="30" t="str">
        <f t="shared" si="518"/>
        <v>-0,0000121481216130911+0,00174874837201363i</v>
      </c>
      <c r="BD547" s="32">
        <f t="shared" si="519"/>
        <v>-55.1452439620513</v>
      </c>
      <c r="BE547" s="31">
        <f t="shared" si="520"/>
        <v>90.3980131805211</v>
      </c>
      <c r="BF547" s="30" t="str">
        <f t="shared" si="521"/>
        <v>-0,00197887686539611-0,0021327778128427i</v>
      </c>
      <c r="BG547" s="68">
        <f t="shared" si="522"/>
        <v>-50.7238869360927</v>
      </c>
      <c r="BH547" s="31">
        <f t="shared" si="523"/>
        <v>-132.856395819646</v>
      </c>
      <c r="BI547" s="30" t="str">
        <f t="shared" si="476"/>
        <v>0,126866282846519+0,00675743117875132i</v>
      </c>
      <c r="BJ547" s="68">
        <f t="shared" si="524"/>
        <v>-17.920771878129</v>
      </c>
      <c r="BK547" s="31">
        <f t="shared" si="477"/>
        <v>3.04893273929816</v>
      </c>
      <c r="BL547" s="32">
        <f t="shared" si="525"/>
        <v>-50.7238869360927</v>
      </c>
      <c r="BM547" s="31">
        <f t="shared" si="526"/>
        <v>-132.856395819646</v>
      </c>
      <c r="BO547">
        <f t="shared" si="527"/>
        <v>0</v>
      </c>
      <c r="BP547">
        <f t="shared" si="528"/>
        <v>0</v>
      </c>
    </row>
    <row r="548" spans="14:68">
      <c r="N548" s="7">
        <v>30</v>
      </c>
      <c r="O548" s="18">
        <f t="shared" si="478"/>
        <v>1995262.31496888</v>
      </c>
      <c r="P548" s="86" t="str">
        <f t="shared" si="479"/>
        <v>75</v>
      </c>
      <c r="Q548" s="4" t="str">
        <f t="shared" si="480"/>
        <v>1+20476,4513402566i</v>
      </c>
      <c r="R548" s="4">
        <f t="shared" si="491"/>
        <v>20476.4513646749</v>
      </c>
      <c r="S548" s="4">
        <f t="shared" si="492"/>
        <v>1.57074749020781</v>
      </c>
      <c r="T548" s="4" t="str">
        <f t="shared" si="481"/>
        <v>1+196,573932866464i</v>
      </c>
      <c r="U548" s="4">
        <f t="shared" si="493"/>
        <v>196.576476422254</v>
      </c>
      <c r="V548" s="4">
        <f t="shared" si="494"/>
        <v>1.56570922618493</v>
      </c>
      <c r="W548" t="str">
        <f t="shared" si="482"/>
        <v>1-103,113558534864i</v>
      </c>
      <c r="X548" s="4">
        <f t="shared" si="495"/>
        <v>103.11840744369</v>
      </c>
      <c r="Y548" s="4">
        <f t="shared" si="496"/>
        <v>-1.56109858514694</v>
      </c>
      <c r="Z548" t="str">
        <f t="shared" si="483"/>
        <v>-31,4985445349795+32,3572278342639i</v>
      </c>
      <c r="AA548" s="4">
        <f t="shared" si="497"/>
        <v>45.1569319256806</v>
      </c>
      <c r="AB548" s="4">
        <f t="shared" si="498"/>
        <v>2.34274807000129</v>
      </c>
      <c r="AC548" s="67" t="str">
        <f t="shared" si="499"/>
        <v>-1,18347065851217+1,14137268221016i</v>
      </c>
      <c r="AD548" s="68">
        <f t="shared" si="500"/>
        <v>4.3189977073332</v>
      </c>
      <c r="AE548" s="31">
        <f t="shared" si="501"/>
        <v>136.03739152916</v>
      </c>
      <c r="AF548" s="32" t="str">
        <f t="shared" si="502"/>
        <v>249,914648392112</v>
      </c>
      <c r="AG548" s="32" t="str">
        <f t="shared" si="484"/>
        <v>1+13163,4330044507i</v>
      </c>
      <c r="AH548" s="32">
        <f t="shared" si="503"/>
        <v>13163.4330424347</v>
      </c>
      <c r="AI548" s="32">
        <f t="shared" si="504"/>
        <v>1.57072035877062</v>
      </c>
      <c r="AJ548" s="32" t="str">
        <f t="shared" si="485"/>
        <v>1+196,573932866464i</v>
      </c>
      <c r="AK548" s="32">
        <f t="shared" si="505"/>
        <v>196.576476422254</v>
      </c>
      <c r="AL548" s="32">
        <f t="shared" si="506"/>
        <v>1.56570922618493</v>
      </c>
      <c r="AM548" s="32" t="str">
        <f t="shared" si="486"/>
        <v>1-19,8927768629471i</v>
      </c>
      <c r="AN548" s="32">
        <f t="shared" si="507"/>
        <v>19.9178957553001</v>
      </c>
      <c r="AO548" s="32">
        <f t="shared" si="508"/>
        <v>-1.52056910408059</v>
      </c>
      <c r="AP548" s="30" t="str">
        <f t="shared" si="509"/>
        <v>3,36002536020684-74,2597422073008i</v>
      </c>
      <c r="AQ548" s="32">
        <f t="shared" si="510"/>
        <v>37.4239509001221</v>
      </c>
      <c r="AR548" s="31">
        <f t="shared" si="511"/>
        <v>-87.4093088695466</v>
      </c>
      <c r="AS548" t="str">
        <f t="shared" si="487"/>
        <v>-0,000100699300699301</v>
      </c>
      <c r="AT548" t="str">
        <f t="shared" si="488"/>
        <v>2,81697466295244i</v>
      </c>
      <c r="AU548">
        <f t="shared" si="512"/>
        <v>2.81697466295244</v>
      </c>
      <c r="AV548">
        <f t="shared" si="513"/>
        <v>1.5707963267949</v>
      </c>
      <c r="AW548" t="str">
        <f t="shared" si="489"/>
        <v>1+144,223935899739i</v>
      </c>
      <c r="AX548">
        <f t="shared" si="514"/>
        <v>144.22740268899</v>
      </c>
      <c r="AY548">
        <f t="shared" si="515"/>
        <v>1.56386277607045</v>
      </c>
      <c r="AZ548" t="str">
        <f t="shared" si="490"/>
        <v>1+6895,13157375987i</v>
      </c>
      <c r="BA548">
        <f t="shared" si="516"/>
        <v>6895.1316462748</v>
      </c>
      <c r="BB548">
        <f t="shared" si="517"/>
        <v>1.5706512969311</v>
      </c>
      <c r="BC548" s="30" t="str">
        <f t="shared" si="518"/>
        <v>-0,000011601392358962+0,00170894579005337i</v>
      </c>
      <c r="BD548" s="32">
        <f t="shared" si="519"/>
        <v>-55.3452341268726</v>
      </c>
      <c r="BE548" s="31">
        <f t="shared" si="520"/>
        <v>90.3889535944518</v>
      </c>
      <c r="BF548" s="30" t="str">
        <f t="shared" si="521"/>
        <v>-0,00193681413269026-0,00203572871183018i</v>
      </c>
      <c r="BG548" s="68">
        <f t="shared" si="522"/>
        <v>-51.0262364195394</v>
      </c>
      <c r="BH548" s="31">
        <f t="shared" si="523"/>
        <v>-133.573654876388</v>
      </c>
      <c r="BI548" s="30" t="str">
        <f t="shared" si="476"/>
        <v>0,126866892843075+0,00660361759962031i</v>
      </c>
      <c r="BJ548" s="68">
        <f t="shared" si="524"/>
        <v>-17.9212832267505</v>
      </c>
      <c r="BK548" s="31">
        <f t="shared" si="477"/>
        <v>2.97964472490527</v>
      </c>
      <c r="BL548" s="32">
        <f t="shared" si="525"/>
        <v>-51.0262364195394</v>
      </c>
      <c r="BM548" s="31">
        <f t="shared" si="526"/>
        <v>-133.573654876388</v>
      </c>
      <c r="BO548">
        <f t="shared" si="527"/>
        <v>0</v>
      </c>
      <c r="BP548">
        <f t="shared" si="528"/>
        <v>0</v>
      </c>
    </row>
    <row r="549" spans="14:68">
      <c r="N549" s="7">
        <v>31</v>
      </c>
      <c r="O549" s="18">
        <f t="shared" si="478"/>
        <v>2041737.94466953</v>
      </c>
      <c r="P549" s="86" t="str">
        <f t="shared" si="479"/>
        <v>75</v>
      </c>
      <c r="Q549" s="4" t="str">
        <f t="shared" si="480"/>
        <v>1+20953,4091632624i</v>
      </c>
      <c r="R549" s="4">
        <f t="shared" si="491"/>
        <v>20953.4091871249</v>
      </c>
      <c r="S549" s="4">
        <f t="shared" si="492"/>
        <v>1.57074860186424</v>
      </c>
      <c r="T549" s="4" t="str">
        <f t="shared" si="481"/>
        <v>1+201,152727967319i</v>
      </c>
      <c r="U549" s="4">
        <f t="shared" si="493"/>
        <v>201.155213625435</v>
      </c>
      <c r="V549" s="4">
        <f t="shared" si="494"/>
        <v>1.56582502080203</v>
      </c>
      <c r="W549" t="str">
        <f t="shared" si="482"/>
        <v>1-105,515381857857i</v>
      </c>
      <c r="X549" s="4">
        <f t="shared" si="495"/>
        <v>105.520120397057</v>
      </c>
      <c r="Y549" s="4">
        <f t="shared" si="496"/>
        <v>-1.56131931932619</v>
      </c>
      <c r="Z549" t="str">
        <f t="shared" si="483"/>
        <v>-33,0301537526804+33,1109244924339i</v>
      </c>
      <c r="AA549" s="4">
        <f t="shared" si="497"/>
        <v>46.7688398153019</v>
      </c>
      <c r="AB549" s="4">
        <f t="shared" si="498"/>
        <v>2.35497330206319</v>
      </c>
      <c r="AC549" s="67" t="str">
        <f t="shared" si="499"/>
        <v>-1,1553006102685+1,14203423959003i</v>
      </c>
      <c r="AD549" s="68">
        <f t="shared" si="500"/>
        <v>4.21433087964461</v>
      </c>
      <c r="AE549" s="31">
        <f t="shared" si="501"/>
        <v>135.330861041208</v>
      </c>
      <c r="AF549" s="32" t="str">
        <f t="shared" si="502"/>
        <v>249,914648392112</v>
      </c>
      <c r="AG549" s="32" t="str">
        <f t="shared" si="484"/>
        <v>1+13470,0487478115i</v>
      </c>
      <c r="AH549" s="32">
        <f t="shared" si="503"/>
        <v>13470.0487849309</v>
      </c>
      <c r="AI549" s="32">
        <f t="shared" si="504"/>
        <v>1.57072208801396</v>
      </c>
      <c r="AJ549" s="32" t="str">
        <f t="shared" si="485"/>
        <v>1+201,152727967319i</v>
      </c>
      <c r="AK549" s="32">
        <f t="shared" si="505"/>
        <v>201.155213625435</v>
      </c>
      <c r="AL549" s="32">
        <f t="shared" si="506"/>
        <v>1.56582502080203</v>
      </c>
      <c r="AM549" s="32" t="str">
        <f t="shared" si="486"/>
        <v>1-20,3561391608584i</v>
      </c>
      <c r="AN549" s="32">
        <f t="shared" si="507"/>
        <v>20.3806869740996</v>
      </c>
      <c r="AO549" s="32">
        <f t="shared" si="508"/>
        <v>-1.52171055834373</v>
      </c>
      <c r="AP549" s="30" t="str">
        <f t="shared" si="509"/>
        <v>3,36002529616574-75,9886111723883i</v>
      </c>
      <c r="AQ549" s="32">
        <f t="shared" si="510"/>
        <v>37.6234531162381</v>
      </c>
      <c r="AR549" s="31">
        <f t="shared" si="511"/>
        <v>-87.4681739168274</v>
      </c>
      <c r="AS549" t="str">
        <f t="shared" si="487"/>
        <v>-0,000100699300699301</v>
      </c>
      <c r="AT549" t="str">
        <f t="shared" si="488"/>
        <v>2,88259043203168i</v>
      </c>
      <c r="AU549">
        <f t="shared" si="512"/>
        <v>2.88259043203168</v>
      </c>
      <c r="AV549">
        <f t="shared" si="513"/>
        <v>1.5707963267949</v>
      </c>
      <c r="AW549" t="str">
        <f t="shared" si="489"/>
        <v>1+147,583342925352i</v>
      </c>
      <c r="AX549">
        <f t="shared" si="514"/>
        <v>147.586730802678</v>
      </c>
      <c r="AY549">
        <f t="shared" si="515"/>
        <v>1.56402059806676</v>
      </c>
      <c r="AZ549" t="str">
        <f t="shared" si="490"/>
        <v>1+7055,73982028222i</v>
      </c>
      <c r="BA549">
        <f t="shared" si="516"/>
        <v>7055.73989114651</v>
      </c>
      <c r="BB549">
        <f t="shared" si="517"/>
        <v>1.5706545982138</v>
      </c>
      <c r="BC549" s="30" t="str">
        <f t="shared" si="518"/>
        <v>-0,0000110792676620739+0,00167004897246532i</v>
      </c>
      <c r="BD549" s="32">
        <f t="shared" si="519"/>
        <v>-55.5452247343291</v>
      </c>
      <c r="BE549" s="31">
        <f t="shared" si="520"/>
        <v>90.3801002097145</v>
      </c>
      <c r="BF549" s="30" t="str">
        <f t="shared" si="521"/>
        <v>-0,00189445322365622-0,00194206150008714i</v>
      </c>
      <c r="BG549" s="68">
        <f t="shared" si="522"/>
        <v>-51.3308938546845</v>
      </c>
      <c r="BH549" s="31">
        <f t="shared" si="523"/>
        <v>-134.289038749078</v>
      </c>
      <c r="BI549" s="30" t="str">
        <f t="shared" si="476"/>
        <v>0,126867475387906+0,00645330495576723i</v>
      </c>
      <c r="BJ549" s="68">
        <f t="shared" si="524"/>
        <v>-17.921771618091</v>
      </c>
      <c r="BK549" s="31">
        <f t="shared" si="477"/>
        <v>2.91192629288702</v>
      </c>
      <c r="BL549" s="32">
        <f t="shared" si="525"/>
        <v>-51.3308938546845</v>
      </c>
      <c r="BM549" s="31">
        <f t="shared" si="526"/>
        <v>-134.289038749078</v>
      </c>
      <c r="BO549">
        <f t="shared" si="527"/>
        <v>0</v>
      </c>
      <c r="BP549">
        <f t="shared" si="528"/>
        <v>0</v>
      </c>
    </row>
    <row r="550" spans="14:68">
      <c r="N550" s="7">
        <v>32</v>
      </c>
      <c r="O550" s="18">
        <f t="shared" si="478"/>
        <v>2089296.13085404</v>
      </c>
      <c r="P550" s="86" t="str">
        <f t="shared" si="479"/>
        <v>75</v>
      </c>
      <c r="Q550" s="4" t="str">
        <f t="shared" si="480"/>
        <v>1+21441,4767611578i</v>
      </c>
      <c r="R550" s="4">
        <f t="shared" si="491"/>
        <v>21441.4767844771</v>
      </c>
      <c r="S550" s="4">
        <f t="shared" si="492"/>
        <v>1.57074968821629</v>
      </c>
      <c r="T550" s="4" t="str">
        <f t="shared" si="481"/>
        <v>1+205,838176907116i</v>
      </c>
      <c r="U550" s="4">
        <f t="shared" si="493"/>
        <v>205.840605985421</v>
      </c>
      <c r="V550" s="4">
        <f t="shared" si="494"/>
        <v>1.56593817974066</v>
      </c>
      <c r="W550" t="str">
        <f t="shared" si="482"/>
        <v>1-107,973150832974i</v>
      </c>
      <c r="X550" s="4">
        <f t="shared" si="495"/>
        <v>107.977781514533</v>
      </c>
      <c r="Y550" s="4">
        <f t="shared" si="496"/>
        <v>-1.56153502987449</v>
      </c>
      <c r="Z550" t="str">
        <f t="shared" si="483"/>
        <v>-34,6339454889935+33,882177001045i</v>
      </c>
      <c r="AA550" s="4">
        <f t="shared" si="497"/>
        <v>48.4511310339059</v>
      </c>
      <c r="AB550" s="4">
        <f t="shared" si="498"/>
        <v>2.36716618991608</v>
      </c>
      <c r="AC550" s="67" t="str">
        <f t="shared" si="499"/>
        <v>-1,12720295886439+1,14200272685863i</v>
      </c>
      <c r="AD550" s="68">
        <f t="shared" si="500"/>
        <v>4.10736203449707</v>
      </c>
      <c r="AE550" s="31">
        <f t="shared" si="501"/>
        <v>134.626322009357</v>
      </c>
      <c r="AF550" s="32" t="str">
        <f t="shared" si="502"/>
        <v>249,914648392112</v>
      </c>
      <c r="AG550" s="32" t="str">
        <f t="shared" si="484"/>
        <v>1+13783,8064893158i</v>
      </c>
      <c r="AH550" s="32">
        <f t="shared" si="503"/>
        <v>13783.8065255902</v>
      </c>
      <c r="AI550" s="32">
        <f t="shared" si="504"/>
        <v>1.57072377789492</v>
      </c>
      <c r="AJ550" s="32" t="str">
        <f t="shared" si="485"/>
        <v>1+205,838176907116i</v>
      </c>
      <c r="AK550" s="32">
        <f t="shared" si="505"/>
        <v>205.840605985421</v>
      </c>
      <c r="AL550" s="32">
        <f t="shared" si="506"/>
        <v>1.56593817974066</v>
      </c>
      <c r="AM550" s="32" t="str">
        <f t="shared" si="486"/>
        <v>1-20,8302945531984i</v>
      </c>
      <c r="AN550" s="32">
        <f t="shared" si="507"/>
        <v>20.8542842402468</v>
      </c>
      <c r="AO550" s="32">
        <f t="shared" si="508"/>
        <v>-1.52282615364573</v>
      </c>
      <c r="AP550" s="30" t="str">
        <f t="shared" si="509"/>
        <v>3,36002523500694-77,7577703049477i</v>
      </c>
      <c r="AQ550" s="32">
        <f t="shared" si="510"/>
        <v>37.8229776841237</v>
      </c>
      <c r="AR550" s="31">
        <f t="shared" si="511"/>
        <v>-87.5257061127258</v>
      </c>
      <c r="AS550" t="str">
        <f t="shared" si="487"/>
        <v>-0,000100699300699301</v>
      </c>
      <c r="AT550" t="str">
        <f t="shared" si="488"/>
        <v>2,94973458871357i</v>
      </c>
      <c r="AU550">
        <f t="shared" si="512"/>
        <v>2.94973458871357</v>
      </c>
      <c r="AV550">
        <f t="shared" si="513"/>
        <v>1.5707963267949</v>
      </c>
      <c r="AW550" t="str">
        <f t="shared" si="489"/>
        <v>1+151,021000592881i</v>
      </c>
      <c r="AX550">
        <f t="shared" si="514"/>
        <v>151.024311354414</v>
      </c>
      <c r="AY550">
        <f t="shared" si="515"/>
        <v>1.56417482792201</v>
      </c>
      <c r="AZ550" t="str">
        <f t="shared" si="490"/>
        <v>1+7220,08911345111i</v>
      </c>
      <c r="BA550">
        <f t="shared" si="516"/>
        <v>7220.08918270233</v>
      </c>
      <c r="BB550">
        <f t="shared" si="517"/>
        <v>1.57065782435014</v>
      </c>
      <c r="BC550" s="30" t="str">
        <f t="shared" si="518"/>
        <v>-0,0000105806403384062+0,00163203731842063i</v>
      </c>
      <c r="BD550" s="32">
        <f t="shared" si="519"/>
        <v>-55.7452157645007</v>
      </c>
      <c r="BE550" s="31">
        <f t="shared" si="520"/>
        <v>90.3714483339301</v>
      </c>
      <c r="BF550" s="30" t="str">
        <f t="shared" si="521"/>
        <v>-0,00185186453887527-0,00185172041441921i</v>
      </c>
      <c r="BG550" s="68">
        <f t="shared" si="522"/>
        <v>-51.6378537300037</v>
      </c>
      <c r="BH550" s="31">
        <f t="shared" si="523"/>
        <v>-135.002229656713</v>
      </c>
      <c r="BI550" s="30" t="str">
        <f t="shared" si="476"/>
        <v>0,126868031716315+0,00630641357547943i</v>
      </c>
      <c r="BJ550" s="68">
        <f t="shared" si="524"/>
        <v>-17.922238080377</v>
      </c>
      <c r="BK550" s="31">
        <f t="shared" si="477"/>
        <v>2.84574222120427</v>
      </c>
      <c r="BL550" s="32">
        <f t="shared" si="525"/>
        <v>-51.6378537300037</v>
      </c>
      <c r="BM550" s="31">
        <f t="shared" si="526"/>
        <v>-135.002229656713</v>
      </c>
      <c r="BO550">
        <f t="shared" si="527"/>
        <v>0</v>
      </c>
      <c r="BP550">
        <f t="shared" si="528"/>
        <v>0</v>
      </c>
    </row>
    <row r="551" spans="14:68">
      <c r="N551" s="7">
        <v>33</v>
      </c>
      <c r="O551" s="18">
        <f t="shared" si="478"/>
        <v>2137962.08950224</v>
      </c>
      <c r="P551" s="86" t="str">
        <f t="shared" si="479"/>
        <v>75</v>
      </c>
      <c r="Q551" s="4" t="str">
        <f t="shared" si="480"/>
        <v>1+21940,9129138434i</v>
      </c>
      <c r="R551" s="4">
        <f t="shared" si="491"/>
        <v>21940.9129366319</v>
      </c>
      <c r="S551" s="4">
        <f t="shared" si="492"/>
        <v>1.57075074983995</v>
      </c>
      <c r="T551" s="4" t="str">
        <f t="shared" si="481"/>
        <v>1+210,632763972897i</v>
      </c>
      <c r="U551" s="4">
        <f t="shared" si="493"/>
        <v>210.635137759259</v>
      </c>
      <c r="V551" s="4">
        <f t="shared" si="494"/>
        <v>1.5660487629876</v>
      </c>
      <c r="W551" t="str">
        <f t="shared" si="482"/>
        <v>1-110,488168601854i</v>
      </c>
      <c r="X551" s="4">
        <f t="shared" si="495"/>
        <v>110.492693880599</v>
      </c>
      <c r="Y551" s="4">
        <f t="shared" si="496"/>
        <v>-1.56174583108408</v>
      </c>
      <c r="Z551" t="str">
        <f t="shared" si="483"/>
        <v>-36,3133216012146+34,6713942883854i</v>
      </c>
      <c r="AA551" s="4">
        <f t="shared" si="497"/>
        <v>50.207199758739</v>
      </c>
      <c r="AB551" s="4">
        <f t="shared" si="498"/>
        <v>2.37932108243712</v>
      </c>
      <c r="AC551" s="67" t="str">
        <f t="shared" si="499"/>
        <v>-1,09920740038767+1,14128448973381i</v>
      </c>
      <c r="AD551" s="68">
        <f t="shared" si="500"/>
        <v>3.99809905184288</v>
      </c>
      <c r="AE551" s="31">
        <f t="shared" si="501"/>
        <v>133.924095074619</v>
      </c>
      <c r="AF551" s="32" t="str">
        <f t="shared" si="502"/>
        <v>249,914648392112</v>
      </c>
      <c r="AG551" s="32" t="str">
        <f t="shared" si="484"/>
        <v>1+14104,8725874708i</v>
      </c>
      <c r="AH551" s="32">
        <f t="shared" si="503"/>
        <v>14104.8726229195</v>
      </c>
      <c r="AI551" s="32">
        <f t="shared" si="504"/>
        <v>1.5707254293095</v>
      </c>
      <c r="AJ551" s="32" t="str">
        <f t="shared" si="485"/>
        <v>1+210,632763972897i</v>
      </c>
      <c r="AK551" s="32">
        <f t="shared" si="505"/>
        <v>210.635137759259</v>
      </c>
      <c r="AL551" s="32">
        <f t="shared" si="506"/>
        <v>1.5660487629876</v>
      </c>
      <c r="AM551" s="32" t="str">
        <f t="shared" si="486"/>
        <v>1-21,3154944434318i</v>
      </c>
      <c r="AN551" s="32">
        <f t="shared" si="507"/>
        <v>21.3389386654532</v>
      </c>
      <c r="AO551" s="32">
        <f t="shared" si="508"/>
        <v>-1.52391647037633</v>
      </c>
      <c r="AP551" s="30" t="str">
        <f t="shared" si="509"/>
        <v>3,36002517660074-79,5681576365673i</v>
      </c>
      <c r="AQ551" s="32">
        <f t="shared" si="510"/>
        <v>38.0225236023656</v>
      </c>
      <c r="AR551" s="31">
        <f t="shared" si="511"/>
        <v>-87.5819353254726</v>
      </c>
      <c r="AS551" t="str">
        <f t="shared" si="487"/>
        <v>-0,000100699300699301</v>
      </c>
      <c r="AT551" t="str">
        <f t="shared" si="488"/>
        <v>3,01844273371875i</v>
      </c>
      <c r="AU551">
        <f t="shared" si="512"/>
        <v>3.01844273371875</v>
      </c>
      <c r="AV551">
        <f t="shared" si="513"/>
        <v>1.5707963267949</v>
      </c>
      <c r="AW551" t="str">
        <f t="shared" si="489"/>
        <v>1+154,538731593922i</v>
      </c>
      <c r="AX551">
        <f t="shared" si="514"/>
        <v>154.541966994918</v>
      </c>
      <c r="AY551">
        <f t="shared" si="515"/>
        <v>1.56432554738153</v>
      </c>
      <c r="AZ551" t="str">
        <f t="shared" si="490"/>
        <v>1+7388,26659343706i</v>
      </c>
      <c r="BA551">
        <f t="shared" si="516"/>
        <v>7388.26666111193</v>
      </c>
      <c r="BB551">
        <f t="shared" si="517"/>
        <v>1.57066097705064</v>
      </c>
      <c r="BC551" s="30" t="str">
        <f t="shared" si="518"/>
        <v>-0,0000101044530175267+0,00159489069489567i</v>
      </c>
      <c r="BD551" s="32">
        <f t="shared" si="519"/>
        <v>-55.9452071983638</v>
      </c>
      <c r="BE551" s="31">
        <f t="shared" si="520"/>
        <v>90.3629933814422</v>
      </c>
      <c r="BF551" s="30" t="str">
        <f t="shared" si="521"/>
        <v>-0,00180911712337147-0,0017646477101449i</v>
      </c>
      <c r="BG551" s="68">
        <f t="shared" si="522"/>
        <v>-51.9471081465209</v>
      </c>
      <c r="BH551" s="31">
        <f t="shared" si="523"/>
        <v>-135.712911543938</v>
      </c>
      <c r="BI551" s="30" t="str">
        <f t="shared" si="476"/>
        <v>0,126868563008018+0,00616286559930555i</v>
      </c>
      <c r="BJ551" s="68">
        <f t="shared" si="524"/>
        <v>-17.9226835959982</v>
      </c>
      <c r="BK551" s="31">
        <f t="shared" si="477"/>
        <v>2.78105805596953</v>
      </c>
      <c r="BL551" s="32">
        <f t="shared" si="525"/>
        <v>-51.9471081465209</v>
      </c>
      <c r="BM551" s="31">
        <f t="shared" si="526"/>
        <v>-135.712911543938</v>
      </c>
      <c r="BO551">
        <f t="shared" si="527"/>
        <v>0</v>
      </c>
      <c r="BP551">
        <f t="shared" si="528"/>
        <v>0</v>
      </c>
    </row>
    <row r="552" spans="14:68">
      <c r="N552" s="7">
        <v>34</v>
      </c>
      <c r="O552" s="18">
        <f t="shared" si="478"/>
        <v>2187761.62394956</v>
      </c>
      <c r="P552" s="86" t="str">
        <f t="shared" si="479"/>
        <v>75</v>
      </c>
      <c r="Q552" s="4" t="str">
        <f t="shared" si="480"/>
        <v>1+22451,9824289783i</v>
      </c>
      <c r="R552" s="4">
        <f t="shared" si="491"/>
        <v>22451.982451248</v>
      </c>
      <c r="S552" s="4">
        <f t="shared" si="492"/>
        <v>1.57075178729811</v>
      </c>
      <c r="T552" s="4" t="str">
        <f t="shared" si="481"/>
        <v>1+215,539031318192i</v>
      </c>
      <c r="U552" s="4">
        <f t="shared" si="493"/>
        <v>215.541351071168</v>
      </c>
      <c r="V552" s="4">
        <f t="shared" si="494"/>
        <v>1.56615682916472</v>
      </c>
      <c r="W552" t="str">
        <f t="shared" si="482"/>
        <v>1-113,061768660212i</v>
      </c>
      <c r="X552" s="4">
        <f t="shared" si="495"/>
        <v>113.066190935112</v>
      </c>
      <c r="Y552" s="4">
        <f t="shared" si="496"/>
        <v>-1.56195183464959</v>
      </c>
      <c r="Z552" t="str">
        <f t="shared" si="483"/>
        <v>-38,0718442712361+35,4789948079078i</v>
      </c>
      <c r="AA552" s="4">
        <f t="shared" si="497"/>
        <v>52.0406033669173</v>
      </c>
      <c r="AB552" s="4">
        <f t="shared" si="498"/>
        <v>2.39143237760475</v>
      </c>
      <c r="AC552" s="67" t="str">
        <f t="shared" si="499"/>
        <v>-1,07134316957099+1,13988750924228i</v>
      </c>
      <c r="AD552" s="68">
        <f t="shared" si="500"/>
        <v>3.88655216909265</v>
      </c>
      <c r="AE552" s="31">
        <f t="shared" si="501"/>
        <v>133.224498136093</v>
      </c>
      <c r="AF552" s="32" t="str">
        <f t="shared" si="502"/>
        <v>249,914648392112</v>
      </c>
      <c r="AG552" s="32" t="str">
        <f t="shared" si="484"/>
        <v>1+14433,4172757717i</v>
      </c>
      <c r="AH552" s="32">
        <f t="shared" si="503"/>
        <v>14433.4173104135</v>
      </c>
      <c r="AI552" s="32">
        <f t="shared" si="504"/>
        <v>1.57072704313329</v>
      </c>
      <c r="AJ552" s="32" t="str">
        <f t="shared" si="485"/>
        <v>1+215,539031318192i</v>
      </c>
      <c r="AK552" s="32">
        <f t="shared" si="505"/>
        <v>215.541351071168</v>
      </c>
      <c r="AL552" s="32">
        <f t="shared" si="506"/>
        <v>1.56615682916472</v>
      </c>
      <c r="AM552" s="32" t="str">
        <f t="shared" si="486"/>
        <v>1-21,8119960909631i</v>
      </c>
      <c r="AN552" s="32">
        <f t="shared" si="507"/>
        <v>21.8349072238054</v>
      </c>
      <c r="AO552" s="32">
        <f t="shared" si="508"/>
        <v>-1.52498207626074</v>
      </c>
      <c r="AP552" s="30" t="str">
        <f t="shared" si="509"/>
        <v>3,36002512082329-81,4207330585755i</v>
      </c>
      <c r="AQ552" s="32">
        <f t="shared" si="510"/>
        <v>38.2220899142202</v>
      </c>
      <c r="AR552" s="31">
        <f t="shared" si="511"/>
        <v>-87.6368907747081</v>
      </c>
      <c r="AS552" t="str">
        <f t="shared" si="487"/>
        <v>-0,000100699300699301</v>
      </c>
      <c r="AT552" t="str">
        <f t="shared" si="488"/>
        <v>3,08875129701516i</v>
      </c>
      <c r="AU552">
        <f t="shared" si="512"/>
        <v>3.08875129701516</v>
      </c>
      <c r="AV552">
        <f t="shared" si="513"/>
        <v>1.5707963267949</v>
      </c>
      <c r="AW552" t="str">
        <f t="shared" si="489"/>
        <v>1+158,138401076017i</v>
      </c>
      <c r="AX552">
        <f t="shared" si="514"/>
        <v>158.141562831784</v>
      </c>
      <c r="AY552">
        <f t="shared" si="515"/>
        <v>1.56447283633138</v>
      </c>
      <c r="AZ552" t="str">
        <f t="shared" si="490"/>
        <v>1+7560,36143016615i</v>
      </c>
      <c r="BA552">
        <f t="shared" si="516"/>
        <v>7560.36149630055</v>
      </c>
      <c r="BB552">
        <f t="shared" si="517"/>
        <v>1.57066405798693</v>
      </c>
      <c r="BC552" s="30" t="str">
        <f t="shared" si="518"/>
        <v>-9,64969590218447E-06+0,00155858942609874i</v>
      </c>
      <c r="BD552" s="32">
        <f t="shared" si="519"/>
        <v>-56.1451990177507</v>
      </c>
      <c r="BE552" s="31">
        <f t="shared" si="520"/>
        <v>90.3547308708932</v>
      </c>
      <c r="BF552" s="30" t="str">
        <f t="shared" si="521"/>
        <v>-0,0017662784830538-0,00168078370364334i</v>
      </c>
      <c r="BG552" s="68">
        <f t="shared" si="522"/>
        <v>-52.2586468486581</v>
      </c>
      <c r="BH552" s="31">
        <f t="shared" si="523"/>
        <v>-136.420770993014</v>
      </c>
      <c r="BI552" s="30" t="str">
        <f t="shared" si="476"/>
        <v>0,126869070389664+0,00602258493888951i</v>
      </c>
      <c r="BJ552" s="68">
        <f t="shared" si="524"/>
        <v>-17.9231091035306</v>
      </c>
      <c r="BK552" s="31">
        <f t="shared" si="477"/>
        <v>2.71784009618513</v>
      </c>
      <c r="BL552" s="32">
        <f t="shared" si="525"/>
        <v>-52.2586468486581</v>
      </c>
      <c r="BM552" s="31">
        <f t="shared" si="526"/>
        <v>-136.420770993014</v>
      </c>
      <c r="BO552">
        <f t="shared" si="527"/>
        <v>0</v>
      </c>
      <c r="BP552">
        <f t="shared" si="528"/>
        <v>0</v>
      </c>
    </row>
    <row r="553" spans="14:68">
      <c r="N553" s="7">
        <v>35</v>
      </c>
      <c r="O553" s="18">
        <f t="shared" si="478"/>
        <v>2238721.13856834</v>
      </c>
      <c r="P553" s="86" t="str">
        <f t="shared" si="479"/>
        <v>75</v>
      </c>
      <c r="Q553" s="4" t="str">
        <f t="shared" si="480"/>
        <v>1+22974,956282384i</v>
      </c>
      <c r="R553" s="4">
        <f t="shared" si="491"/>
        <v>22974.9563041468</v>
      </c>
      <c r="S553" s="4">
        <f t="shared" si="492"/>
        <v>1.57075280114083</v>
      </c>
      <c r="T553" s="4" t="str">
        <f t="shared" si="481"/>
        <v>1+220,559580310887i</v>
      </c>
      <c r="U553" s="4">
        <f t="shared" si="493"/>
        <v>220.561847260388</v>
      </c>
      <c r="V553" s="4">
        <f t="shared" si="494"/>
        <v>1.56626243556005</v>
      </c>
      <c r="W553" t="str">
        <f t="shared" si="482"/>
        <v>1-115,695315564862i</v>
      </c>
      <c r="X553" s="4">
        <f t="shared" si="495"/>
        <v>115.6996371803</v>
      </c>
      <c r="Y553" s="4">
        <f t="shared" si="496"/>
        <v>-1.56215314972683</v>
      </c>
      <c r="Z553" t="str">
        <f t="shared" si="483"/>
        <v>-39,91324356141+36,3054067600971i</v>
      </c>
      <c r="AA553" s="4">
        <f t="shared" si="497"/>
        <v>53.9550699342383</v>
      </c>
      <c r="AB553" s="4">
        <f t="shared" si="498"/>
        <v>2.40349453797428</v>
      </c>
      <c r="AC553" s="67" t="str">
        <f t="shared" si="499"/>
        <v>-1,04363892241392+1,13782135782565i</v>
      </c>
      <c r="AD553" s="68">
        <f t="shared" si="500"/>
        <v>3.77273394045317</v>
      </c>
      <c r="AE553" s="31">
        <f t="shared" si="501"/>
        <v>132.527845462663</v>
      </c>
      <c r="AF553" s="32" t="str">
        <f t="shared" si="502"/>
        <v>249,914648392112</v>
      </c>
      <c r="AG553" s="32" t="str">
        <f t="shared" si="484"/>
        <v>1+14769,6147529611i</v>
      </c>
      <c r="AH553" s="32">
        <f t="shared" si="503"/>
        <v>14769.6147868144</v>
      </c>
      <c r="AI553" s="32">
        <f t="shared" si="504"/>
        <v>1.57072862022196</v>
      </c>
      <c r="AJ553" s="32" t="str">
        <f t="shared" si="485"/>
        <v>1+220,559580310887i</v>
      </c>
      <c r="AK553" s="32">
        <f t="shared" si="505"/>
        <v>220.561847260388</v>
      </c>
      <c r="AL553" s="32">
        <f t="shared" si="506"/>
        <v>1.56626243556005</v>
      </c>
      <c r="AM553" s="32" t="str">
        <f t="shared" si="486"/>
        <v>1-22,3200627475377i</v>
      </c>
      <c r="AN553" s="32">
        <f t="shared" si="507"/>
        <v>22.342452888034</v>
      </c>
      <c r="AO553" s="32">
        <f t="shared" si="508"/>
        <v>-1.52602352661168</v>
      </c>
      <c r="AP553" s="30" t="str">
        <f t="shared" si="509"/>
        <v>3,36002506755621-83,3164788309806i</v>
      </c>
      <c r="AQ553" s="32">
        <f t="shared" si="510"/>
        <v>38.4216757056372</v>
      </c>
      <c r="AR553" s="31">
        <f t="shared" si="511"/>
        <v>-87.6906010441732</v>
      </c>
      <c r="AS553" t="str">
        <f t="shared" si="487"/>
        <v>-0,000100699300699301</v>
      </c>
      <c r="AT553" t="str">
        <f t="shared" si="488"/>
        <v>3,1606975571337i</v>
      </c>
      <c r="AU553">
        <f t="shared" si="512"/>
        <v>3.1606975571337</v>
      </c>
      <c r="AV553">
        <f t="shared" si="513"/>
        <v>1.5707963267949</v>
      </c>
      <c r="AW553" t="str">
        <f t="shared" si="489"/>
        <v>1+161,82191763157i</v>
      </c>
      <c r="AX553">
        <f t="shared" si="514"/>
        <v>161.82500741838</v>
      </c>
      <c r="AY553">
        <f t="shared" si="515"/>
        <v>1.56461677284052</v>
      </c>
      <c r="AZ553" t="str">
        <f t="shared" si="490"/>
        <v>1+7736,46487059869i</v>
      </c>
      <c r="BA553">
        <f t="shared" si="516"/>
        <v>7736.46493522769</v>
      </c>
      <c r="BB553">
        <f t="shared" si="517"/>
        <v>1.57066706879255</v>
      </c>
      <c r="BC553" s="30" t="str">
        <f t="shared" si="518"/>
        <v>-9,21540462860178E-06+0,00152311428313238i</v>
      </c>
      <c r="BD553" s="32">
        <f t="shared" si="519"/>
        <v>-56.3451912053114</v>
      </c>
      <c r="BE553" s="31">
        <f t="shared" si="520"/>
        <v>90.3466564228563</v>
      </c>
      <c r="BF553" s="30" t="str">
        <f t="shared" si="521"/>
        <v>-0,00172341440680112-0,00160006683336896i</v>
      </c>
      <c r="BG553" s="68">
        <f t="shared" si="522"/>
        <v>-52.5724572648582</v>
      </c>
      <c r="BH553" s="31">
        <f t="shared" si="523"/>
        <v>-137.125498114481</v>
      </c>
      <c r="BI553" s="30" t="str">
        <f t="shared" si="476"/>
        <v>0,126869554937203+0,00588549723673552i</v>
      </c>
      <c r="BJ553" s="68">
        <f t="shared" si="524"/>
        <v>-17.9235154996742</v>
      </c>
      <c r="BK553" s="31">
        <f t="shared" si="477"/>
        <v>2.65605537868301</v>
      </c>
      <c r="BL553" s="32">
        <f t="shared" si="525"/>
        <v>-52.5724572648582</v>
      </c>
      <c r="BM553" s="31">
        <f t="shared" si="526"/>
        <v>-137.125498114481</v>
      </c>
      <c r="BO553">
        <f t="shared" si="527"/>
        <v>0</v>
      </c>
      <c r="BP553">
        <f t="shared" si="528"/>
        <v>0</v>
      </c>
    </row>
    <row r="554" spans="14:68">
      <c r="N554" s="7">
        <v>36</v>
      </c>
      <c r="O554" s="18">
        <f t="shared" si="478"/>
        <v>2290867.65276778</v>
      </c>
      <c r="P554" s="86" t="str">
        <f t="shared" si="479"/>
        <v>75</v>
      </c>
      <c r="Q554" s="4" t="str">
        <f t="shared" si="480"/>
        <v>1+23510,1117617204i</v>
      </c>
      <c r="R554" s="4">
        <f t="shared" si="491"/>
        <v>23510.1117829878</v>
      </c>
      <c r="S554" s="4">
        <f t="shared" si="492"/>
        <v>1.57075379190567</v>
      </c>
      <c r="T554" s="4" t="str">
        <f t="shared" si="481"/>
        <v>1+225,697072912516i</v>
      </c>
      <c r="U554" s="4">
        <f t="shared" si="493"/>
        <v>225.699288260459</v>
      </c>
      <c r="V554" s="4">
        <f t="shared" si="494"/>
        <v>1.56636563815804</v>
      </c>
      <c r="W554" t="str">
        <f t="shared" si="482"/>
        <v>1-118,390205657235i</v>
      </c>
      <c r="X554" s="4">
        <f t="shared" si="495"/>
        <v>118.394428904245</v>
      </c>
      <c r="Y554" s="4">
        <f t="shared" si="496"/>
        <v>-1.56234988299043</v>
      </c>
      <c r="Z554" t="str">
        <f t="shared" si="483"/>
        <v>-41,8414253265126+37,1510683195099i</v>
      </c>
      <c r="AA554" s="4">
        <f t="shared" si="497"/>
        <v>55.9545060798058</v>
      </c>
      <c r="AB554" s="4">
        <f t="shared" si="498"/>
        <v>2.4155021056896</v>
      </c>
      <c r="AC554" s="67" t="str">
        <f t="shared" si="499"/>
        <v>-1,01612262377666+1,13509714565228i</v>
      </c>
      <c r="AD554" s="68">
        <f t="shared" si="500"/>
        <v>3.65665918686085</v>
      </c>
      <c r="AE554" s="31">
        <f t="shared" si="501"/>
        <v>131.834446831319</v>
      </c>
      <c r="AF554" s="32" t="str">
        <f t="shared" si="502"/>
        <v>249,914648392112</v>
      </c>
      <c r="AG554" s="32" t="str">
        <f t="shared" si="484"/>
        <v>1+15113,6432753917i</v>
      </c>
      <c r="AH554" s="32">
        <f t="shared" si="503"/>
        <v>15113.6433084744</v>
      </c>
      <c r="AI554" s="32">
        <f t="shared" si="504"/>
        <v>1.57073016141172</v>
      </c>
      <c r="AJ554" s="32" t="str">
        <f t="shared" si="485"/>
        <v>1+225,697072912516i</v>
      </c>
      <c r="AK554" s="32">
        <f t="shared" si="505"/>
        <v>225.699288260459</v>
      </c>
      <c r="AL554" s="32">
        <f t="shared" si="506"/>
        <v>1.56636563815804</v>
      </c>
      <c r="AM554" s="32" t="str">
        <f t="shared" si="486"/>
        <v>1-22,8399637968222i</v>
      </c>
      <c r="AN554" s="32">
        <f t="shared" si="507"/>
        <v>22.8618447689627</v>
      </c>
      <c r="AO554" s="32">
        <f t="shared" si="508"/>
        <v>-1.52704136457818</v>
      </c>
      <c r="AP554" s="30" t="str">
        <f t="shared" si="509"/>
        <v>3,36002501668653-85,2564001032867i</v>
      </c>
      <c r="AQ554" s="32">
        <f t="shared" si="510"/>
        <v>38.6212801033715</v>
      </c>
      <c r="AR554" s="31">
        <f t="shared" si="511"/>
        <v>-87.7430940942497</v>
      </c>
      <c r="AS554" t="str">
        <f t="shared" si="487"/>
        <v>-0,000100699300699301</v>
      </c>
      <c r="AT554" t="str">
        <f t="shared" si="488"/>
        <v>3,23431966093382i</v>
      </c>
      <c r="AU554">
        <f t="shared" si="512"/>
        <v>3.23431966093382</v>
      </c>
      <c r="AV554">
        <f t="shared" si="513"/>
        <v>1.5707963267949</v>
      </c>
      <c r="AW554" t="str">
        <f t="shared" si="489"/>
        <v>1+165,59123430982i</v>
      </c>
      <c r="AX554">
        <f t="shared" si="514"/>
        <v>165.594253765793</v>
      </c>
      <c r="AY554">
        <f t="shared" si="515"/>
        <v>1.56475743320213</v>
      </c>
      <c r="AZ554" t="str">
        <f t="shared" si="490"/>
        <v>1+7916,67028710992i</v>
      </c>
      <c r="BA554">
        <f t="shared" si="516"/>
        <v>7916.67035026778</v>
      </c>
      <c r="BB554">
        <f t="shared" si="517"/>
        <v>1.57067001106386</v>
      </c>
      <c r="BC554" s="30" t="str">
        <f t="shared" si="518"/>
        <v>-0,0000088006582229397+0,00148844647388624i</v>
      </c>
      <c r="BD554" s="32">
        <f t="shared" si="519"/>
        <v>-56.5451837444768</v>
      </c>
      <c r="BE554" s="31">
        <f t="shared" si="520"/>
        <v>90.3387657575197</v>
      </c>
      <c r="BF554" s="30" t="str">
        <f t="shared" si="521"/>
        <v>-0,00168058879604002-0,00152243373842512i</v>
      </c>
      <c r="BG554" s="68">
        <f t="shared" si="522"/>
        <v>-52.8885245576159</v>
      </c>
      <c r="BH554" s="31">
        <f t="shared" si="523"/>
        <v>-137.826787411161</v>
      </c>
      <c r="BI554" s="30" t="str">
        <f t="shared" si="476"/>
        <v>0,126870017678179+0,00575152982688385i</v>
      </c>
      <c r="BJ554" s="68">
        <f t="shared" si="524"/>
        <v>-17.9239036411053</v>
      </c>
      <c r="BK554" s="31">
        <f t="shared" si="477"/>
        <v>2.59567166326998</v>
      </c>
      <c r="BL554" s="32">
        <f t="shared" si="525"/>
        <v>-52.8885245576159</v>
      </c>
      <c r="BM554" s="31">
        <f t="shared" si="526"/>
        <v>-137.826787411161</v>
      </c>
      <c r="BO554">
        <f t="shared" si="527"/>
        <v>0</v>
      </c>
      <c r="BP554">
        <f t="shared" si="528"/>
        <v>0</v>
      </c>
    </row>
    <row r="555" spans="14:68">
      <c r="N555" s="7">
        <v>37</v>
      </c>
      <c r="O555" s="18">
        <f t="shared" si="478"/>
        <v>2344228.81531993</v>
      </c>
      <c r="P555" s="86" t="str">
        <f t="shared" si="479"/>
        <v>75</v>
      </c>
      <c r="Q555" s="4" t="str">
        <f t="shared" si="480"/>
        <v>1+24057,7326135058i</v>
      </c>
      <c r="R555" s="4">
        <f t="shared" si="491"/>
        <v>24057.7326342891</v>
      </c>
      <c r="S555" s="4">
        <f t="shared" si="492"/>
        <v>1.57075476011796</v>
      </c>
      <c r="T555" s="4" t="str">
        <f t="shared" si="481"/>
        <v>1+230,954233089656i</v>
      </c>
      <c r="U555" s="4">
        <f t="shared" si="493"/>
        <v>230.956398010601</v>
      </c>
      <c r="V555" s="4">
        <f t="shared" si="494"/>
        <v>1.56646649166931</v>
      </c>
      <c r="W555" t="str">
        <f t="shared" si="482"/>
        <v>1-121,147867803726i</v>
      </c>
      <c r="X555" s="4">
        <f t="shared" si="495"/>
        <v>121.151994921211</v>
      </c>
      <c r="Y555" s="4">
        <f t="shared" si="496"/>
        <v>-1.56254213869002</v>
      </c>
      <c r="Z555" t="str">
        <f t="shared" si="483"/>
        <v>-43,8604794985822+38,0164278670981i</v>
      </c>
      <c r="AA555" s="4">
        <f t="shared" si="497"/>
        <v>58.043005173921</v>
      </c>
      <c r="AB555" s="4">
        <f t="shared" si="498"/>
        <v>2.42744971694217</v>
      </c>
      <c r="AC555" s="67" t="str">
        <f t="shared" si="499"/>
        <v>-0,988821440872069+1,13172745776361i</v>
      </c>
      <c r="AD555" s="68">
        <f t="shared" si="500"/>
        <v>3.53834493695515</v>
      </c>
      <c r="AE555" s="31">
        <f t="shared" si="501"/>
        <v>131.144606697177</v>
      </c>
      <c r="AF555" s="32" t="str">
        <f t="shared" si="502"/>
        <v>249,914648392112</v>
      </c>
      <c r="AG555" s="32" t="str">
        <f t="shared" si="484"/>
        <v>1+15465,6852515395i</v>
      </c>
      <c r="AH555" s="32">
        <f t="shared" si="503"/>
        <v>15465.6852838691</v>
      </c>
      <c r="AI555" s="32">
        <f t="shared" si="504"/>
        <v>1.57073166751971</v>
      </c>
      <c r="AJ555" s="32" t="str">
        <f t="shared" si="485"/>
        <v>1+230,954233089656i</v>
      </c>
      <c r="AK555" s="32">
        <f t="shared" si="505"/>
        <v>230.956398010601</v>
      </c>
      <c r="AL555" s="32">
        <f t="shared" si="506"/>
        <v>1.56646649166931</v>
      </c>
      <c r="AM555" s="32" t="str">
        <f t="shared" si="486"/>
        <v>1-23,3719748972343i</v>
      </c>
      <c r="AN555" s="32">
        <f t="shared" si="507"/>
        <v>23.3933582582098</v>
      </c>
      <c r="AO555" s="32">
        <f t="shared" si="508"/>
        <v>-1.52803612139078</v>
      </c>
      <c r="AP555" s="30" t="str">
        <f t="shared" si="509"/>
        <v>3,36002496810637-87,2415254474284i</v>
      </c>
      <c r="AQ555" s="32">
        <f t="shared" si="510"/>
        <v>38.8209022731746</v>
      </c>
      <c r="AR555" s="31">
        <f t="shared" si="511"/>
        <v>-87.7943972743409</v>
      </c>
      <c r="AS555" t="str">
        <f t="shared" si="487"/>
        <v>-0,000100699300699301</v>
      </c>
      <c r="AT555" t="str">
        <f t="shared" si="488"/>
        <v>3,30965664382944i</v>
      </c>
      <c r="AU555">
        <f t="shared" si="512"/>
        <v>3.30965664382944</v>
      </c>
      <c r="AV555">
        <f t="shared" si="513"/>
        <v>1.5707963267949</v>
      </c>
      <c r="AW555" t="str">
        <f t="shared" si="489"/>
        <v>1+169,44834965236i</v>
      </c>
      <c r="AX555">
        <f t="shared" si="514"/>
        <v>169.451300378334</v>
      </c>
      <c r="AY555">
        <f t="shared" si="515"/>
        <v>1.56489489197392</v>
      </c>
      <c r="AZ555" t="str">
        <f t="shared" si="490"/>
        <v>1+8101,07322699685i</v>
      </c>
      <c r="BA555">
        <f t="shared" si="516"/>
        <v>8101.07328871707</v>
      </c>
      <c r="BB555">
        <f t="shared" si="517"/>
        <v>1.57067288636091</v>
      </c>
      <c r="BC555" s="30" t="str">
        <f t="shared" si="518"/>
        <v>-0,0000084045771496252+0,00145456763315583i</v>
      </c>
      <c r="BD555" s="32">
        <f t="shared" si="519"/>
        <v>-56.7451766194231</v>
      </c>
      <c r="BE555" s="31">
        <f t="shared" si="520"/>
        <v>90.3310546924246</v>
      </c>
      <c r="BF555" s="30" t="str">
        <f t="shared" si="521"/>
        <v>-0,00163786350352967-0,00144781935359415i</v>
      </c>
      <c r="BG555" s="68">
        <f t="shared" si="522"/>
        <v>-53.2068316824679</v>
      </c>
      <c r="BH555" s="31">
        <f t="shared" si="523"/>
        <v>-138.524338610398</v>
      </c>
      <c r="BI555" s="30" t="str">
        <f t="shared" si="476"/>
        <v>0,126870459593901+0,00562061169647688i</v>
      </c>
      <c r="BJ555" s="68">
        <f t="shared" si="524"/>
        <v>-17.9242743462484</v>
      </c>
      <c r="BK555" s="31">
        <f t="shared" si="477"/>
        <v>2.53665741808368</v>
      </c>
      <c r="BL555" s="32">
        <f t="shared" si="525"/>
        <v>-53.2068316824679</v>
      </c>
      <c r="BM555" s="31">
        <f t="shared" si="526"/>
        <v>-138.524338610398</v>
      </c>
      <c r="BO555">
        <f t="shared" si="527"/>
        <v>0</v>
      </c>
      <c r="BP555">
        <f t="shared" si="528"/>
        <v>0</v>
      </c>
    </row>
    <row r="556" spans="14:68">
      <c r="N556" s="7">
        <v>38</v>
      </c>
      <c r="O556" s="18">
        <f t="shared" si="478"/>
        <v>2398832.91901949</v>
      </c>
      <c r="P556" s="86" t="str">
        <f t="shared" si="479"/>
        <v>75</v>
      </c>
      <c r="Q556" s="4" t="str">
        <f t="shared" si="480"/>
        <v>1+24618,1091935646i</v>
      </c>
      <c r="R556" s="4">
        <f t="shared" si="491"/>
        <v>24618.1092138748</v>
      </c>
      <c r="S556" s="4">
        <f t="shared" si="492"/>
        <v>1.57075570629104</v>
      </c>
      <c r="T556" s="4" t="str">
        <f t="shared" si="481"/>
        <v>1+236,33384825822i</v>
      </c>
      <c r="U556" s="4">
        <f t="shared" si="493"/>
        <v>236.335963899994</v>
      </c>
      <c r="V556" s="4">
        <f t="shared" si="494"/>
        <v>1.56656504955949</v>
      </c>
      <c r="W556" t="str">
        <f t="shared" si="482"/>
        <v>1-123,969764153307i</v>
      </c>
      <c r="X556" s="4">
        <f t="shared" si="495"/>
        <v>123.97379732922</v>
      </c>
      <c r="Y556" s="4">
        <f t="shared" si="496"/>
        <v>-1.56273001870523</v>
      </c>
      <c r="Z556" t="str">
        <f t="shared" si="483"/>
        <v>-45,9746887622172+38,9019442279481i</v>
      </c>
      <c r="AA556" s="4">
        <f t="shared" si="497"/>
        <v>60.2248559275747</v>
      </c>
      <c r="AB556" s="4">
        <f t="shared" si="498"/>
        <v>2.43933211579514</v>
      </c>
      <c r="AC556" s="67" t="str">
        <f t="shared" si="499"/>
        <v>-0,961761643495361+1,12772628278002i</v>
      </c>
      <c r="AD556" s="68">
        <f t="shared" si="500"/>
        <v>3.41781035960824</v>
      </c>
      <c r="AE556" s="31">
        <f t="shared" si="501"/>
        <v>130.458623399905</v>
      </c>
      <c r="AF556" s="32" t="str">
        <f t="shared" si="502"/>
        <v>249,914648392112</v>
      </c>
      <c r="AG556" s="32" t="str">
        <f t="shared" si="484"/>
        <v>1+15825,9273387201i</v>
      </c>
      <c r="AH556" s="32">
        <f t="shared" si="503"/>
        <v>15825.9273703138</v>
      </c>
      <c r="AI556" s="32">
        <f t="shared" si="504"/>
        <v>1.5707331393445</v>
      </c>
      <c r="AJ556" s="32" t="str">
        <f t="shared" si="485"/>
        <v>1+236,33384825822i</v>
      </c>
      <c r="AK556" s="32">
        <f t="shared" si="505"/>
        <v>236.335963899994</v>
      </c>
      <c r="AL556" s="32">
        <f t="shared" si="506"/>
        <v>1.56656504955949</v>
      </c>
      <c r="AM556" s="32" t="str">
        <f t="shared" si="486"/>
        <v>1-23,9163781281015i</v>
      </c>
      <c r="AN556" s="32">
        <f t="shared" si="507"/>
        <v>23.9372751742201</v>
      </c>
      <c r="AO556" s="32">
        <f t="shared" si="508"/>
        <v>-1.52900831660342</v>
      </c>
      <c r="AP556" s="30" t="str">
        <f t="shared" si="509"/>
        <v>3,36002492171268-89,2729074031405i</v>
      </c>
      <c r="AQ556" s="32">
        <f t="shared" si="510"/>
        <v>39.0205414180673</v>
      </c>
      <c r="AR556" s="31">
        <f t="shared" si="511"/>
        <v>-87.8445373350916</v>
      </c>
      <c r="AS556" t="str">
        <f t="shared" si="487"/>
        <v>-0,000100699300699301</v>
      </c>
      <c r="AT556" t="str">
        <f t="shared" si="488"/>
        <v>3,3867484504861i</v>
      </c>
      <c r="AU556">
        <f t="shared" si="512"/>
        <v>3.3867484504861</v>
      </c>
      <c r="AV556">
        <f t="shared" si="513"/>
        <v>1.5707963267949</v>
      </c>
      <c r="AW556" t="str">
        <f t="shared" si="489"/>
        <v>1+173,395308752798i</v>
      </c>
      <c r="AX556">
        <f t="shared" si="514"/>
        <v>173.398192313179</v>
      </c>
      <c r="AY556">
        <f t="shared" si="515"/>
        <v>1.56502922201756</v>
      </c>
      <c r="AZ556" t="str">
        <f t="shared" si="490"/>
        <v>1+8289,77146313909i</v>
      </c>
      <c r="BA556">
        <f t="shared" si="516"/>
        <v>8289.77152345438</v>
      </c>
      <c r="BB556">
        <f t="shared" si="517"/>
        <v>1.5706756962082</v>
      </c>
      <c r="BC556" s="30" t="str">
        <f t="shared" si="518"/>
        <v>-8,02632144741085E-06+0,00142145981298193i</v>
      </c>
      <c r="BD556" s="32">
        <f t="shared" si="519"/>
        <v>-56.9451698150386</v>
      </c>
      <c r="BE556" s="31">
        <f t="shared" si="520"/>
        <v>90.3235191402535</v>
      </c>
      <c r="BF556" s="30" t="str">
        <f t="shared" si="521"/>
        <v>-0,00159529818290881-0,0013761570195464i</v>
      </c>
      <c r="BG556" s="68">
        <f t="shared" si="522"/>
        <v>-53.5273594554304</v>
      </c>
      <c r="BH556" s="31">
        <f t="shared" si="523"/>
        <v>-139.217857459841</v>
      </c>
      <c r="BI556" s="30" t="str">
        <f t="shared" si="476"/>
        <v>0,126870881621528+0,00549267344819488i</v>
      </c>
      <c r="BJ556" s="68">
        <f t="shared" si="524"/>
        <v>-17.9246283969713</v>
      </c>
      <c r="BK556" s="31">
        <f t="shared" si="477"/>
        <v>2.47898180516192</v>
      </c>
      <c r="BL556" s="32">
        <f t="shared" si="525"/>
        <v>-53.5273594554304</v>
      </c>
      <c r="BM556" s="31">
        <f t="shared" si="526"/>
        <v>-139.217857459841</v>
      </c>
      <c r="BO556">
        <f t="shared" si="527"/>
        <v>0</v>
      </c>
      <c r="BP556">
        <f t="shared" si="528"/>
        <v>0</v>
      </c>
    </row>
    <row r="557" spans="14:68">
      <c r="N557" s="7">
        <v>39</v>
      </c>
      <c r="O557" s="18">
        <f t="shared" si="478"/>
        <v>2454708.91568503</v>
      </c>
      <c r="P557" s="86" t="str">
        <f t="shared" si="479"/>
        <v>75</v>
      </c>
      <c r="Q557" s="4" t="str">
        <f t="shared" si="480"/>
        <v>1+25191,538620977i</v>
      </c>
      <c r="R557" s="4">
        <f t="shared" si="491"/>
        <v>25191.5386408249</v>
      </c>
      <c r="S557" s="4">
        <f t="shared" si="492"/>
        <v>1.57075663092659</v>
      </c>
      <c r="T557" s="4" t="str">
        <f t="shared" si="481"/>
        <v>1+241,838770761379i</v>
      </c>
      <c r="U557" s="4">
        <f t="shared" si="493"/>
        <v>241.840838245683</v>
      </c>
      <c r="V557" s="4">
        <f t="shared" si="494"/>
        <v>1.56666136407763</v>
      </c>
      <c r="W557" t="str">
        <f t="shared" si="482"/>
        <v>1-126,857390912777i</v>
      </c>
      <c r="X557" s="4">
        <f t="shared" si="495"/>
        <v>126.861332285284</v>
      </c>
      <c r="Y557" s="4">
        <f t="shared" si="496"/>
        <v>-1.56291362259944</v>
      </c>
      <c r="Z557" t="str">
        <f t="shared" si="483"/>
        <v>-48,1885376387232+39,8080869145559i</v>
      </c>
      <c r="AA557" s="4">
        <f t="shared" si="497"/>
        <v>62.5045513827232</v>
      </c>
      <c r="AB557" s="4">
        <f t="shared" si="498"/>
        <v>2.45114416729753</v>
      </c>
      <c r="AC557" s="67" t="str">
        <f t="shared" si="499"/>
        <v>-0,934968511732886+1,1231089339744i</v>
      </c>
      <c r="AD557" s="68">
        <f t="shared" si="500"/>
        <v>3.29507668859188</v>
      </c>
      <c r="AE557" s="31">
        <f t="shared" si="501"/>
        <v>129.776788410867</v>
      </c>
      <c r="AF557" s="32" t="str">
        <f t="shared" si="502"/>
        <v>249,914648392112</v>
      </c>
      <c r="AG557" s="32" t="str">
        <f t="shared" si="484"/>
        <v>1+16194,5605420566i</v>
      </c>
      <c r="AH557" s="32">
        <f t="shared" si="503"/>
        <v>16194.5605729312</v>
      </c>
      <c r="AI557" s="32">
        <f t="shared" si="504"/>
        <v>1.57073457766647</v>
      </c>
      <c r="AJ557" s="32" t="str">
        <f t="shared" si="485"/>
        <v>1+241,838770761379i</v>
      </c>
      <c r="AK557" s="32">
        <f t="shared" si="505"/>
        <v>241.840838245683</v>
      </c>
      <c r="AL557" s="32">
        <f t="shared" si="506"/>
        <v>1.56666136407763</v>
      </c>
      <c r="AM557" s="32" t="str">
        <f t="shared" si="486"/>
        <v>1-24,4734621392229i</v>
      </c>
      <c r="AN557" s="32">
        <f t="shared" si="507"/>
        <v>24.4938839117029</v>
      </c>
      <c r="AO557" s="32">
        <f t="shared" si="508"/>
        <v>-1.52995845833162</v>
      </c>
      <c r="AP557" s="30" t="str">
        <f t="shared" si="509"/>
        <v>3,36002487740707-91,351623036024i</v>
      </c>
      <c r="AQ557" s="32">
        <f t="shared" si="510"/>
        <v>39.2201967766859</v>
      </c>
      <c r="AR557" s="31">
        <f t="shared" si="511"/>
        <v>-87.8935404404395</v>
      </c>
      <c r="AS557" t="str">
        <f t="shared" si="487"/>
        <v>-0,000100699300699301</v>
      </c>
      <c r="AT557" t="str">
        <f t="shared" si="488"/>
        <v>3,46563595600013i</v>
      </c>
      <c r="AU557">
        <f t="shared" si="512"/>
        <v>3.46563595600013</v>
      </c>
      <c r="AV557">
        <f t="shared" si="513"/>
        <v>1.5707963267949</v>
      </c>
      <c r="AW557" t="str">
        <f t="shared" si="489"/>
        <v>1+177,434204341096i</v>
      </c>
      <c r="AX557">
        <f t="shared" si="514"/>
        <v>177.437022264684</v>
      </c>
      <c r="AY557">
        <f t="shared" si="515"/>
        <v>1.56516049453721</v>
      </c>
      <c r="AZ557" t="str">
        <f t="shared" si="490"/>
        <v>1+8482,86504583919i</v>
      </c>
      <c r="BA557">
        <f t="shared" si="516"/>
        <v>8482.86510478154</v>
      </c>
      <c r="BB557">
        <f t="shared" si="517"/>
        <v>1.57067844209557</v>
      </c>
      <c r="BC557" s="30" t="str">
        <f t="shared" si="518"/>
        <v>-7,66508894923038E-06+0,00138910547320615i</v>
      </c>
      <c r="BD557" s="32">
        <f t="shared" si="519"/>
        <v>-57.1451633168919</v>
      </c>
      <c r="BE557" s="31">
        <f t="shared" si="520"/>
        <v>90.3161551066685</v>
      </c>
      <c r="BF557" s="30" t="str">
        <f t="shared" si="521"/>
        <v>-0,0015529501503834-0,00130737860680215i</v>
      </c>
      <c r="BG557" s="68">
        <f t="shared" si="522"/>
        <v>-53.8500866283001</v>
      </c>
      <c r="BH557" s="31">
        <f t="shared" si="523"/>
        <v>-139.907056482464</v>
      </c>
      <c r="BI557" s="30" t="str">
        <f t="shared" si="476"/>
        <v>0,126871284656049+0,00536764726354267i</v>
      </c>
      <c r="BJ557" s="68">
        <f t="shared" si="524"/>
        <v>-17.924966540206</v>
      </c>
      <c r="BK557" s="31">
        <f t="shared" si="477"/>
        <v>2.42261466622902</v>
      </c>
      <c r="BL557" s="32">
        <f t="shared" si="525"/>
        <v>-53.8500866283001</v>
      </c>
      <c r="BM557" s="31">
        <f t="shared" si="526"/>
        <v>-139.907056482464</v>
      </c>
      <c r="BO557">
        <f t="shared" si="527"/>
        <v>0</v>
      </c>
      <c r="BP557">
        <f t="shared" si="528"/>
        <v>0</v>
      </c>
    </row>
    <row r="558" spans="14:68">
      <c r="N558" s="7">
        <v>40</v>
      </c>
      <c r="O558" s="18">
        <f t="shared" si="478"/>
        <v>2511886.43150959</v>
      </c>
      <c r="P558" s="86" t="str">
        <f t="shared" si="479"/>
        <v>75</v>
      </c>
      <c r="Q558" s="4" t="str">
        <f t="shared" si="480"/>
        <v>1+25778,3249356158i</v>
      </c>
      <c r="R558" s="4">
        <f t="shared" si="491"/>
        <v>25778.3249550119</v>
      </c>
      <c r="S558" s="4">
        <f t="shared" si="492"/>
        <v>1.57075753451487</v>
      </c>
      <c r="T558" s="4" t="str">
        <f t="shared" si="481"/>
        <v>1+247,471919381912i</v>
      </c>
      <c r="U558" s="4">
        <f t="shared" si="493"/>
        <v>247.473939804917</v>
      </c>
      <c r="V558" s="4">
        <f t="shared" si="494"/>
        <v>1.5667554862838</v>
      </c>
      <c r="W558" t="str">
        <f t="shared" si="482"/>
        <v>1-129,812279140065i</v>
      </c>
      <c r="X558" s="4">
        <f t="shared" si="495"/>
        <v>129.816130798673</v>
      </c>
      <c r="Y558" s="4">
        <f t="shared" si="496"/>
        <v>-1.56309304767233</v>
      </c>
      <c r="Z558" t="str">
        <f t="shared" si="483"/>
        <v>-50,5067219983836+40,7353363757684i</v>
      </c>
      <c r="AA558" s="4">
        <f t="shared" si="497"/>
        <v>64.8867983234572</v>
      </c>
      <c r="AB558" s="4">
        <f t="shared" si="498"/>
        <v>2.46288086982118</v>
      </c>
      <c r="AC558" s="67" t="str">
        <f t="shared" si="499"/>
        <v>-0,908466251784903+1,11789196359017i</v>
      </c>
      <c r="AD558" s="68">
        <f t="shared" si="500"/>
        <v>3.17016714001747</v>
      </c>
      <c r="AE558" s="31">
        <f t="shared" si="501"/>
        <v>129.099385624823</v>
      </c>
      <c r="AF558" s="32" t="str">
        <f t="shared" si="502"/>
        <v>249,914648392112</v>
      </c>
      <c r="AG558" s="32" t="str">
        <f t="shared" si="484"/>
        <v>1+16571,780315753i</v>
      </c>
      <c r="AH558" s="32">
        <f t="shared" si="503"/>
        <v>16571.7803459248</v>
      </c>
      <c r="AI558" s="32">
        <f t="shared" si="504"/>
        <v>1.57073598324823</v>
      </c>
      <c r="AJ558" s="32" t="str">
        <f t="shared" si="485"/>
        <v>1+247,471919381912i</v>
      </c>
      <c r="AK558" s="32">
        <f t="shared" si="505"/>
        <v>247.473939804917</v>
      </c>
      <c r="AL558" s="32">
        <f t="shared" si="506"/>
        <v>1.5667554862838</v>
      </c>
      <c r="AM558" s="32" t="str">
        <f t="shared" si="486"/>
        <v>1-25,0435223039152i</v>
      </c>
      <c r="AN558" s="32">
        <f t="shared" si="507"/>
        <v>25.0634795945555</v>
      </c>
      <c r="AO558" s="32">
        <f t="shared" si="508"/>
        <v>-1.5308870434871</v>
      </c>
      <c r="AP558" s="30" t="str">
        <f t="shared" si="509"/>
        <v>3,36002483509552-93,4787745086226i</v>
      </c>
      <c r="AQ558" s="32">
        <f t="shared" si="510"/>
        <v>39.4198676217022</v>
      </c>
      <c r="AR558" s="31">
        <f t="shared" si="511"/>
        <v>-87.9414321794977</v>
      </c>
      <c r="AS558" t="str">
        <f t="shared" si="487"/>
        <v>-0,000100699300699301</v>
      </c>
      <c r="AT558" t="str">
        <f t="shared" si="488"/>
        <v>3,54636098757115i</v>
      </c>
      <c r="AU558">
        <f t="shared" si="512"/>
        <v>3.54636098757115</v>
      </c>
      <c r="AV558">
        <f t="shared" si="513"/>
        <v>1.5707963267949</v>
      </c>
      <c r="AW558" t="str">
        <f t="shared" si="489"/>
        <v>1+181,567177893155i</v>
      </c>
      <c r="AX558">
        <f t="shared" si="514"/>
        <v>181.569931673955</v>
      </c>
      <c r="AY558">
        <f t="shared" si="515"/>
        <v>1.56528877911719</v>
      </c>
      <c r="AZ558" t="str">
        <f t="shared" si="490"/>
        <v>1+8680,45635587063i</v>
      </c>
      <c r="BA558">
        <f t="shared" si="516"/>
        <v>8680.45641347129</v>
      </c>
      <c r="BB558">
        <f t="shared" si="517"/>
        <v>1.57068112547891</v>
      </c>
      <c r="BC558" s="30" t="str">
        <f t="shared" si="518"/>
        <v>-7,32011358208737E-06+0,00135748747223798i</v>
      </c>
      <c r="BD558" s="32">
        <f t="shared" si="519"/>
        <v>-57.345157111201</v>
      </c>
      <c r="BE558" s="31">
        <f t="shared" si="520"/>
        <v>90.3089586881989</v>
      </c>
      <c r="BF558" s="30" t="str">
        <f t="shared" si="521"/>
        <v>-0,00151087425974061-0,00124141465189498i</v>
      </c>
      <c r="BG558" s="68">
        <f t="shared" si="522"/>
        <v>-54.1749899711835</v>
      </c>
      <c r="BH558" s="31">
        <f t="shared" si="523"/>
        <v>-140.591655686978</v>
      </c>
      <c r="BI558" s="30" t="str">
        <f t="shared" si="476"/>
        <v>0,126871669552183+0,0052454668669681i</v>
      </c>
      <c r="BJ558" s="68">
        <f t="shared" si="524"/>
        <v>-17.9252894894987</v>
      </c>
      <c r="BK558" s="31">
        <f t="shared" si="477"/>
        <v>2.36752650870127</v>
      </c>
      <c r="BL558" s="32">
        <f t="shared" si="525"/>
        <v>-54.1749899711835</v>
      </c>
      <c r="BM558" s="31">
        <f t="shared" si="526"/>
        <v>-140.591655686978</v>
      </c>
      <c r="BO558">
        <f t="shared" si="527"/>
        <v>0</v>
      </c>
      <c r="BP558">
        <f t="shared" si="528"/>
        <v>0</v>
      </c>
    </row>
    <row r="559" spans="14:68">
      <c r="N559" s="7">
        <v>41</v>
      </c>
      <c r="O559" s="18">
        <f t="shared" si="478"/>
        <v>2570395.78276887</v>
      </c>
      <c r="P559" s="86" t="str">
        <f t="shared" si="479"/>
        <v>75</v>
      </c>
      <c r="Q559" s="4" t="str">
        <f t="shared" si="480"/>
        <v>1+26378,7792593518i</v>
      </c>
      <c r="R559" s="4">
        <f t="shared" si="491"/>
        <v>26378.7792783064</v>
      </c>
      <c r="S559" s="4">
        <f t="shared" si="492"/>
        <v>1.57075841753497</v>
      </c>
      <c r="T559" s="4" t="str">
        <f t="shared" si="481"/>
        <v>1+253,236280889778i</v>
      </c>
      <c r="U559" s="4">
        <f t="shared" si="493"/>
        <v>253.238255322703</v>
      </c>
      <c r="V559" s="4">
        <f t="shared" si="494"/>
        <v>1.56684746607617</v>
      </c>
      <c r="W559" t="str">
        <f t="shared" si="482"/>
        <v>1-132,835995556022i</v>
      </c>
      <c r="X559" s="4">
        <f t="shared" si="495"/>
        <v>132.839759542689</v>
      </c>
      <c r="Y559" s="4">
        <f t="shared" si="496"/>
        <v>-1.56326838901121</v>
      </c>
      <c r="Z559" t="str">
        <f t="shared" si="483"/>
        <v>-52,9341590210285+41,684184251523i</v>
      </c>
      <c r="AA559" s="4">
        <f t="shared" si="497"/>
        <v>67.3765271291008</v>
      </c>
      <c r="AB559" s="4">
        <f t="shared" si="498"/>
        <v>2.47453736656185</v>
      </c>
      <c r="AC559" s="67" t="str">
        <f t="shared" si="499"/>
        <v>-0,882277920424487+1,11209307133448i</v>
      </c>
      <c r="AD559" s="68">
        <f t="shared" si="500"/>
        <v>3.04310682323424</v>
      </c>
      <c r="AE559" s="31">
        <f t="shared" si="501"/>
        <v>128.426690699562</v>
      </c>
      <c r="AF559" s="32" t="str">
        <f t="shared" si="502"/>
        <v>249,914648392112</v>
      </c>
      <c r="AG559" s="32" t="str">
        <f t="shared" si="484"/>
        <v>1+16957,7866667262i</v>
      </c>
      <c r="AH559" s="32">
        <f t="shared" si="503"/>
        <v>16957.7866962112</v>
      </c>
      <c r="AI559" s="32">
        <f t="shared" si="504"/>
        <v>1.57073735683505</v>
      </c>
      <c r="AJ559" s="32" t="str">
        <f t="shared" si="485"/>
        <v>1+253,236280889778i</v>
      </c>
      <c r="AK559" s="32">
        <f t="shared" si="505"/>
        <v>253.238255322703</v>
      </c>
      <c r="AL559" s="32">
        <f t="shared" si="506"/>
        <v>1.56684746607617</v>
      </c>
      <c r="AM559" s="32" t="str">
        <f t="shared" si="486"/>
        <v>1-25,6268608756231i</v>
      </c>
      <c r="AN559" s="32">
        <f t="shared" si="507"/>
        <v>25.6463642323535</v>
      </c>
      <c r="AO559" s="32">
        <f t="shared" si="508"/>
        <v>-1.53179455800882</v>
      </c>
      <c r="AP559" s="30" t="str">
        <f t="shared" si="509"/>
        <v>3,36002479468831-95,6554896648026i</v>
      </c>
      <c r="AQ559" s="32">
        <f t="shared" si="510"/>
        <v>39.6195532583114</v>
      </c>
      <c r="AR559" s="31">
        <f t="shared" si="511"/>
        <v>-87.9882375782633</v>
      </c>
      <c r="AS559" t="str">
        <f t="shared" si="487"/>
        <v>-0,000100699300699301</v>
      </c>
      <c r="AT559" t="str">
        <f t="shared" si="488"/>
        <v>3,62896634667941i</v>
      </c>
      <c r="AU559">
        <f t="shared" si="512"/>
        <v>3.62896634667941</v>
      </c>
      <c r="AV559">
        <f t="shared" si="513"/>
        <v>1.5707963267949</v>
      </c>
      <c r="AW559" t="str">
        <f t="shared" si="489"/>
        <v>1+185,796420766259i</v>
      </c>
      <c r="AX559">
        <f t="shared" si="514"/>
        <v>185.799111864273</v>
      </c>
      <c r="AY559">
        <f t="shared" si="515"/>
        <v>1.56541414375879</v>
      </c>
      <c r="AZ559" t="str">
        <f t="shared" si="490"/>
        <v>1+8882,65015876133i</v>
      </c>
      <c r="BA559">
        <f t="shared" si="516"/>
        <v>8882.65021505083</v>
      </c>
      <c r="BB559">
        <f t="shared" si="517"/>
        <v>1.57068374778099</v>
      </c>
      <c r="BC559" s="30" t="str">
        <f t="shared" si="518"/>
        <v>-6,99066374338062E-06+0,00132658905802862i</v>
      </c>
      <c r="BD559" s="32">
        <f t="shared" si="519"/>
        <v>-57.5451511848038</v>
      </c>
      <c r="BE559" s="31">
        <f t="shared" si="520"/>
        <v>90.3019260701768</v>
      </c>
      <c r="BF559" s="30" t="str">
        <f t="shared" si="521"/>
        <v>-0,00146912279167187-0,00117819450408841i</v>
      </c>
      <c r="BG559" s="68">
        <f t="shared" si="522"/>
        <v>-54.5020443615696</v>
      </c>
      <c r="BH559" s="31">
        <f t="shared" si="523"/>
        <v>-141.271383230262</v>
      </c>
      <c r="BI559" s="30" t="str">
        <f t="shared" si="476"/>
        <v>0,126872037126188+0,00512606749079343i</v>
      </c>
      <c r="BJ559" s="68">
        <f t="shared" si="524"/>
        <v>-17.9255979264924</v>
      </c>
      <c r="BK559" s="31">
        <f t="shared" si="477"/>
        <v>2.31368849191346</v>
      </c>
      <c r="BL559" s="32">
        <f t="shared" si="525"/>
        <v>-54.5020443615696</v>
      </c>
      <c r="BM559" s="31">
        <f t="shared" si="526"/>
        <v>-141.271383230262</v>
      </c>
      <c r="BO559">
        <f t="shared" si="527"/>
        <v>0</v>
      </c>
      <c r="BP559">
        <f t="shared" si="528"/>
        <v>0</v>
      </c>
    </row>
    <row r="560" ht="15.75" spans="14:68">
      <c r="N560" s="7">
        <v>42</v>
      </c>
      <c r="O560" s="18">
        <f t="shared" si="478"/>
        <v>2630267.99189538</v>
      </c>
      <c r="P560" s="86" t="str">
        <f t="shared" si="479"/>
        <v>75</v>
      </c>
      <c r="Q560" s="4" t="str">
        <f t="shared" si="480"/>
        <v>1+26993,2199610156i</v>
      </c>
      <c r="R560" s="4">
        <f t="shared" si="491"/>
        <v>26993.2199795388</v>
      </c>
      <c r="S560" s="4">
        <f t="shared" si="492"/>
        <v>1.57075928045508</v>
      </c>
      <c r="T560" s="4" t="str">
        <f t="shared" si="481"/>
        <v>1+259,13491162575i</v>
      </c>
      <c r="U560" s="4">
        <f t="shared" si="493"/>
        <v>259.136841115433</v>
      </c>
      <c r="V560" s="4">
        <f t="shared" si="494"/>
        <v>1.56693735221742</v>
      </c>
      <c r="W560" t="str">
        <f t="shared" si="482"/>
        <v>1-135,930143375114i</v>
      </c>
      <c r="X560" s="4">
        <f t="shared" si="495"/>
        <v>135.93382168533</v>
      </c>
      <c r="Y560" s="4">
        <f t="shared" si="496"/>
        <v>-1.56343973954123</v>
      </c>
      <c r="Z560" t="str">
        <f t="shared" si="483"/>
        <v>-55,4759976260358+42,6551336335232i</v>
      </c>
      <c r="AA560" s="4">
        <f t="shared" si="497"/>
        <v>69.9789020912564</v>
      </c>
      <c r="AB560" s="4">
        <f t="shared" si="498"/>
        <v>2.48610895615452</v>
      </c>
      <c r="AC560" s="74" t="str">
        <f t="shared" si="499"/>
        <v>-0,856425358497679+1,10573100801428i</v>
      </c>
      <c r="AD560" s="75">
        <f t="shared" si="500"/>
        <v>2.91392264590286</v>
      </c>
      <c r="AE560" s="76">
        <f t="shared" si="501"/>
        <v>127.758970446307</v>
      </c>
      <c r="AF560" s="32" t="str">
        <f t="shared" si="502"/>
        <v>249,914648392112</v>
      </c>
      <c r="AG560" s="32" t="str">
        <f t="shared" si="484"/>
        <v>1+17352,7842606529i</v>
      </c>
      <c r="AH560" s="32">
        <f t="shared" si="503"/>
        <v>17352.7842894667</v>
      </c>
      <c r="AI560" s="32">
        <f t="shared" si="504"/>
        <v>1.57073869915521</v>
      </c>
      <c r="AJ560" s="32" t="str">
        <f t="shared" si="485"/>
        <v>1+259,13491162575i</v>
      </c>
      <c r="AK560" s="32">
        <f t="shared" si="505"/>
        <v>259.136841115433</v>
      </c>
      <c r="AL560" s="32">
        <f t="shared" si="506"/>
        <v>1.56693735221742</v>
      </c>
      <c r="AM560" s="32" t="str">
        <f t="shared" si="486"/>
        <v>1-26,223787148179i</v>
      </c>
      <c r="AN560" s="32">
        <f t="shared" si="507"/>
        <v>26.2428468804929</v>
      </c>
      <c r="AO560" s="32">
        <f t="shared" si="508"/>
        <v>-1.53268147709029</v>
      </c>
      <c r="AP560" s="69" t="str">
        <f t="shared" si="509"/>
        <v>3,36002475609972-97,8829226277539i</v>
      </c>
      <c r="AQ560" s="73">
        <f t="shared" si="510"/>
        <v>39.8192530227874</v>
      </c>
      <c r="AR560" s="76">
        <f t="shared" si="511"/>
        <v>-88.033981111151</v>
      </c>
      <c r="AS560" t="str">
        <f t="shared" si="487"/>
        <v>-0,000100699300699301</v>
      </c>
      <c r="AT560" t="str">
        <f t="shared" si="488"/>
        <v>3,71349583177972i</v>
      </c>
      <c r="AU560">
        <f t="shared" si="512"/>
        <v>3.71349583177972</v>
      </c>
      <c r="AV560">
        <f t="shared" si="513"/>
        <v>1.5707963267949</v>
      </c>
      <c r="AW560" t="str">
        <f t="shared" si="489"/>
        <v>1+190,124175360958i</v>
      </c>
      <c r="AX560">
        <f t="shared" si="514"/>
        <v>190.12680520296</v>
      </c>
      <c r="AY560">
        <f t="shared" si="515"/>
        <v>1.56553665491623</v>
      </c>
      <c r="AZ560" t="str">
        <f t="shared" si="490"/>
        <v>1+9089,55366034198i</v>
      </c>
      <c r="BA560">
        <f t="shared" si="516"/>
        <v>9089.55371535018</v>
      </c>
      <c r="BB560">
        <f t="shared" si="517"/>
        <v>1.57068631039218</v>
      </c>
      <c r="BC560" s="69" t="str">
        <f t="shared" si="518"/>
        <v>-6,67604075023508E-06+0,00129639385924726i</v>
      </c>
      <c r="BD560" s="73">
        <f t="shared" si="519"/>
        <v>-57.7451455251309</v>
      </c>
      <c r="BE560" s="76">
        <f t="shared" si="520"/>
        <v>90.2950535247185</v>
      </c>
      <c r="BF560" s="69" t="str">
        <f t="shared" si="521"/>
        <v>-0,00142774535817613-0,00111764648092833i</v>
      </c>
      <c r="BG560" s="75">
        <f t="shared" si="522"/>
        <v>-54.831222879228</v>
      </c>
      <c r="BH560" s="76">
        <f t="shared" si="523"/>
        <v>-141.945976028975</v>
      </c>
      <c r="BI560" s="69" t="str">
        <f t="shared" si="476"/>
        <v>0,126872388157601+0,00500938584094144i</v>
      </c>
      <c r="BJ560" s="75">
        <f t="shared" si="524"/>
        <v>-17.9258925023435</v>
      </c>
      <c r="BK560" s="76">
        <f t="shared" si="477"/>
        <v>2.26107241356748</v>
      </c>
      <c r="BL560" s="73">
        <f t="shared" si="525"/>
        <v>-54.831222879228</v>
      </c>
      <c r="BM560" s="76">
        <f t="shared" si="526"/>
        <v>-141.945976028975</v>
      </c>
    </row>
    <row r="561" spans="14:30">
      <c r="N561" s="7"/>
      <c r="P561" s="86"/>
      <c r="Q561" s="4"/>
      <c r="R561" s="4"/>
      <c r="S561" s="4"/>
      <c r="T561" s="4"/>
      <c r="U561" s="4"/>
      <c r="V561" s="4"/>
      <c r="X561" s="4"/>
      <c r="Y561" s="4"/>
      <c r="AA561" s="4"/>
      <c r="AB561" s="4"/>
      <c r="AC561" s="4"/>
      <c r="AD561" s="95"/>
    </row>
    <row r="562" spans="14:30">
      <c r="N562" s="7"/>
      <c r="P562" s="86"/>
      <c r="Q562" s="4"/>
      <c r="R562" s="4"/>
      <c r="S562" s="4"/>
      <c r="T562" s="4"/>
      <c r="U562" s="4"/>
      <c r="V562" s="4"/>
      <c r="X562" s="4"/>
      <c r="Y562" s="4"/>
      <c r="AA562" s="4"/>
      <c r="AB562" s="4"/>
      <c r="AC562" s="4"/>
      <c r="AD562" s="95"/>
    </row>
    <row r="563" spans="14:30">
      <c r="N563" s="7"/>
      <c r="P563" s="86"/>
      <c r="Q563" s="4"/>
      <c r="R563" s="4"/>
      <c r="S563" s="4"/>
      <c r="T563" s="4"/>
      <c r="U563" s="4"/>
      <c r="V563" s="4"/>
      <c r="X563" s="4"/>
      <c r="Y563" s="4"/>
      <c r="AA563" s="4"/>
      <c r="AB563" s="4"/>
      <c r="AC563" s="4"/>
      <c r="AD563" s="95"/>
    </row>
    <row r="564" spans="14:30">
      <c r="N564" s="7"/>
      <c r="P564" s="86"/>
      <c r="Q564" s="4"/>
      <c r="R564" s="4"/>
      <c r="S564" s="4"/>
      <c r="T564" s="4"/>
      <c r="U564" s="4"/>
      <c r="V564" s="4"/>
      <c r="X564" s="4"/>
      <c r="Y564" s="4"/>
      <c r="AA564" s="4"/>
      <c r="AB564" s="4"/>
      <c r="AC564" s="4"/>
      <c r="AD564" s="95"/>
    </row>
    <row r="565" spans="14:30">
      <c r="N565" s="7"/>
      <c r="P565" s="86"/>
      <c r="Q565" s="4"/>
      <c r="R565" s="4"/>
      <c r="S565" s="4"/>
      <c r="T565" s="4"/>
      <c r="U565" s="4"/>
      <c r="V565" s="4"/>
      <c r="X565" s="4"/>
      <c r="Y565" s="4"/>
      <c r="AA565" s="4"/>
      <c r="AB565" s="4"/>
      <c r="AC565" s="4"/>
      <c r="AD565" s="95"/>
    </row>
    <row r="566" spans="14:30">
      <c r="N566" s="7"/>
      <c r="P566" s="86"/>
      <c r="Q566" s="4"/>
      <c r="R566" s="4"/>
      <c r="S566" s="4"/>
      <c r="T566" s="4"/>
      <c r="U566" s="4"/>
      <c r="V566" s="4"/>
      <c r="X566" s="4"/>
      <c r="Y566" s="4"/>
      <c r="AA566" s="4"/>
      <c r="AB566" s="4"/>
      <c r="AC566" s="4"/>
      <c r="AD566" s="95"/>
    </row>
    <row r="567" spans="14:30">
      <c r="N567" s="7"/>
      <c r="P567" s="86"/>
      <c r="Q567" s="4"/>
      <c r="R567" s="4"/>
      <c r="S567" s="4"/>
      <c r="T567" s="4"/>
      <c r="U567" s="4"/>
      <c r="V567" s="4"/>
      <c r="X567" s="4"/>
      <c r="Y567" s="4"/>
      <c r="AA567" s="4"/>
      <c r="AB567" s="4"/>
      <c r="AC567" s="4"/>
      <c r="AD567" s="95"/>
    </row>
    <row r="568" spans="14:30">
      <c r="N568" s="7"/>
      <c r="P568" s="86"/>
      <c r="Q568" s="4"/>
      <c r="R568" s="4"/>
      <c r="S568" s="4"/>
      <c r="T568" s="4"/>
      <c r="U568" s="4"/>
      <c r="V568" s="4"/>
      <c r="X568" s="4"/>
      <c r="Y568" s="4"/>
      <c r="AA568" s="4"/>
      <c r="AB568" s="4"/>
      <c r="AC568" s="4"/>
      <c r="AD568" s="95"/>
    </row>
    <row r="569" spans="14:30">
      <c r="N569" s="7"/>
      <c r="P569" s="86"/>
      <c r="Q569" s="4"/>
      <c r="R569" s="4"/>
      <c r="S569" s="4"/>
      <c r="T569" s="4"/>
      <c r="U569" s="4"/>
      <c r="V569" s="4"/>
      <c r="X569" s="4"/>
      <c r="Y569" s="4"/>
      <c r="AA569" s="4"/>
      <c r="AB569" s="4"/>
      <c r="AC569" s="4"/>
      <c r="AD569" s="95"/>
    </row>
    <row r="570" spans="14:30">
      <c r="N570" s="7"/>
      <c r="P570" s="86"/>
      <c r="Q570" s="4"/>
      <c r="R570" s="4"/>
      <c r="S570" s="4"/>
      <c r="T570" s="4"/>
      <c r="U570" s="4"/>
      <c r="V570" s="4"/>
      <c r="X570" s="4"/>
      <c r="Y570" s="4"/>
      <c r="AA570" s="4"/>
      <c r="AB570" s="4"/>
      <c r="AC570" s="4"/>
      <c r="AD570" s="95"/>
    </row>
    <row r="571" spans="14:30">
      <c r="N571" s="7"/>
      <c r="P571" s="86"/>
      <c r="Q571" s="4"/>
      <c r="R571" s="4"/>
      <c r="S571" s="4"/>
      <c r="T571" s="4"/>
      <c r="U571" s="4"/>
      <c r="V571" s="4"/>
      <c r="X571" s="4"/>
      <c r="Y571" s="4"/>
      <c r="AA571" s="4"/>
      <c r="AB571" s="4"/>
      <c r="AC571" s="4"/>
      <c r="AD571" s="95"/>
    </row>
    <row r="572" spans="14:30">
      <c r="N572" s="7"/>
      <c r="P572" s="86"/>
      <c r="Q572" s="4"/>
      <c r="R572" s="4"/>
      <c r="S572" s="4"/>
      <c r="T572" s="4"/>
      <c r="U572" s="4"/>
      <c r="V572" s="4"/>
      <c r="X572" s="4"/>
      <c r="Y572" s="4"/>
      <c r="AA572" s="4"/>
      <c r="AB572" s="4"/>
      <c r="AC572" s="4"/>
      <c r="AD572" s="95"/>
    </row>
    <row r="573" spans="14:30">
      <c r="N573" s="7"/>
      <c r="P573" s="86"/>
      <c r="Q573" s="4"/>
      <c r="R573" s="4"/>
      <c r="S573" s="4"/>
      <c r="T573" s="4"/>
      <c r="U573" s="4"/>
      <c r="V573" s="4"/>
      <c r="X573" s="4"/>
      <c r="Y573" s="4"/>
      <c r="AA573" s="4"/>
      <c r="AB573" s="4"/>
      <c r="AC573" s="4"/>
      <c r="AD573" s="95"/>
    </row>
    <row r="574" spans="14:30">
      <c r="N574" s="7"/>
      <c r="P574" s="86"/>
      <c r="Q574" s="4"/>
      <c r="R574" s="4"/>
      <c r="S574" s="4"/>
      <c r="T574" s="4"/>
      <c r="U574" s="4"/>
      <c r="V574" s="4"/>
      <c r="X574" s="4"/>
      <c r="Y574" s="4"/>
      <c r="AA574" s="4"/>
      <c r="AB574" s="4"/>
      <c r="AC574" s="4"/>
      <c r="AD574" s="95"/>
    </row>
    <row r="575" spans="14:30">
      <c r="N575" s="7"/>
      <c r="P575" s="86"/>
      <c r="Q575" s="4"/>
      <c r="R575" s="4"/>
      <c r="S575" s="4"/>
      <c r="T575" s="4"/>
      <c r="U575" s="4"/>
      <c r="V575" s="4"/>
      <c r="X575" s="4"/>
      <c r="Y575" s="4"/>
      <c r="AA575" s="4"/>
      <c r="AB575" s="4"/>
      <c r="AC575" s="4"/>
      <c r="AD575" s="95"/>
    </row>
    <row r="576" spans="14:30">
      <c r="N576" s="7"/>
      <c r="P576" s="86"/>
      <c r="Q576" s="4"/>
      <c r="R576" s="4"/>
      <c r="S576" s="4"/>
      <c r="T576" s="4"/>
      <c r="U576" s="4"/>
      <c r="V576" s="4"/>
      <c r="X576" s="4"/>
      <c r="Y576" s="4"/>
      <c r="AA576" s="4"/>
      <c r="AB576" s="4"/>
      <c r="AC576" s="4"/>
      <c r="AD576" s="95"/>
    </row>
    <row r="577" spans="14:30">
      <c r="N577" s="7"/>
      <c r="P577" s="86"/>
      <c r="Q577" s="4"/>
      <c r="R577" s="4"/>
      <c r="S577" s="4"/>
      <c r="T577" s="4"/>
      <c r="U577" s="4"/>
      <c r="V577" s="4"/>
      <c r="X577" s="4"/>
      <c r="Y577" s="4"/>
      <c r="AA577" s="4"/>
      <c r="AB577" s="4"/>
      <c r="AC577" s="4"/>
      <c r="AD577" s="95"/>
    </row>
    <row r="578" spans="14:30">
      <c r="N578" s="7"/>
      <c r="P578" s="86"/>
      <c r="Q578" s="4"/>
      <c r="R578" s="4"/>
      <c r="S578" s="4"/>
      <c r="T578" s="4"/>
      <c r="U578" s="4"/>
      <c r="V578" s="4"/>
      <c r="X578" s="4"/>
      <c r="Y578" s="4"/>
      <c r="AA578" s="4"/>
      <c r="AB578" s="4"/>
      <c r="AC578" s="4"/>
      <c r="AD578" s="95"/>
    </row>
    <row r="579" spans="14:30">
      <c r="N579" s="7"/>
      <c r="P579" s="86"/>
      <c r="Q579" s="4"/>
      <c r="R579" s="4"/>
      <c r="S579" s="4"/>
      <c r="T579" s="4"/>
      <c r="U579" s="4"/>
      <c r="V579" s="4"/>
      <c r="X579" s="4"/>
      <c r="Y579" s="4"/>
      <c r="AA579" s="4"/>
      <c r="AB579" s="4"/>
      <c r="AC579" s="4"/>
      <c r="AD579" s="95"/>
    </row>
    <row r="580" spans="14:30">
      <c r="N580" s="7"/>
      <c r="P580" s="86"/>
      <c r="Q580" s="4"/>
      <c r="R580" s="4"/>
      <c r="S580" s="4"/>
      <c r="T580" s="4"/>
      <c r="U580" s="4"/>
      <c r="V580" s="4"/>
      <c r="X580" s="4"/>
      <c r="Y580" s="4"/>
      <c r="AA580" s="4"/>
      <c r="AB580" s="4"/>
      <c r="AC580" s="4"/>
      <c r="AD580" s="95"/>
    </row>
    <row r="581" spans="14:30">
      <c r="N581" s="7"/>
      <c r="P581" s="86"/>
      <c r="Q581" s="4"/>
      <c r="R581" s="4"/>
      <c r="S581" s="4"/>
      <c r="T581" s="4"/>
      <c r="U581" s="4"/>
      <c r="V581" s="4"/>
      <c r="X581" s="4"/>
      <c r="Y581" s="4"/>
      <c r="AA581" s="4"/>
      <c r="AB581" s="4"/>
      <c r="AC581" s="4"/>
      <c r="AD581" s="95"/>
    </row>
    <row r="582" spans="14:30">
      <c r="N582" s="7"/>
      <c r="P582" s="86"/>
      <c r="Q582" s="4"/>
      <c r="R582" s="4"/>
      <c r="S582" s="4"/>
      <c r="T582" s="4"/>
      <c r="U582" s="4"/>
      <c r="V582" s="4"/>
      <c r="X582" s="4"/>
      <c r="Y582" s="4"/>
      <c r="AA582" s="4"/>
      <c r="AB582" s="4"/>
      <c r="AC582" s="4"/>
      <c r="AD582" s="95"/>
    </row>
    <row r="583" spans="14:30">
      <c r="N583" s="7"/>
      <c r="P583" s="86"/>
      <c r="Q583" s="4"/>
      <c r="R583" s="4"/>
      <c r="S583" s="4"/>
      <c r="T583" s="4"/>
      <c r="U583" s="4"/>
      <c r="V583" s="4"/>
      <c r="X583" s="4"/>
      <c r="Y583" s="4"/>
      <c r="AA583" s="4"/>
      <c r="AB583" s="4"/>
      <c r="AC583" s="4"/>
      <c r="AD583" s="95"/>
    </row>
    <row r="584" spans="14:30">
      <c r="N584" s="7"/>
      <c r="P584" s="86"/>
      <c r="Q584" s="4"/>
      <c r="R584" s="4"/>
      <c r="S584" s="4"/>
      <c r="T584" s="4"/>
      <c r="U584" s="4"/>
      <c r="V584" s="4"/>
      <c r="X584" s="4"/>
      <c r="Y584" s="4"/>
      <c r="AA584" s="4"/>
      <c r="AB584" s="4"/>
      <c r="AC584" s="4"/>
      <c r="AD584" s="95"/>
    </row>
    <row r="585" spans="14:30">
      <c r="N585" s="7"/>
      <c r="P585" s="86"/>
      <c r="Q585" s="4"/>
      <c r="R585" s="4"/>
      <c r="S585" s="4"/>
      <c r="T585" s="4"/>
      <c r="U585" s="4"/>
      <c r="V585" s="4"/>
      <c r="X585" s="4"/>
      <c r="Y585" s="4"/>
      <c r="AA585" s="4"/>
      <c r="AB585" s="4"/>
      <c r="AC585" s="4"/>
      <c r="AD585" s="95"/>
    </row>
    <row r="586" spans="14:30">
      <c r="N586" s="7"/>
      <c r="P586" s="86"/>
      <c r="Q586" s="4"/>
      <c r="R586" s="4"/>
      <c r="S586" s="4"/>
      <c r="T586" s="4"/>
      <c r="U586" s="4"/>
      <c r="V586" s="4"/>
      <c r="X586" s="4"/>
      <c r="Y586" s="4"/>
      <c r="AA586" s="4"/>
      <c r="AB586" s="4"/>
      <c r="AC586" s="4"/>
      <c r="AD586" s="95"/>
    </row>
    <row r="587" spans="14:30">
      <c r="N587" s="7"/>
      <c r="P587" s="86"/>
      <c r="Q587" s="4"/>
      <c r="R587" s="4"/>
      <c r="S587" s="4"/>
      <c r="T587" s="4"/>
      <c r="U587" s="4"/>
      <c r="V587" s="4"/>
      <c r="X587" s="4"/>
      <c r="Y587" s="4"/>
      <c r="AA587" s="4"/>
      <c r="AB587" s="4"/>
      <c r="AC587" s="4"/>
      <c r="AD587" s="95"/>
    </row>
    <row r="588" spans="14:30">
      <c r="N588" s="7"/>
      <c r="P588" s="86"/>
      <c r="Q588" s="4"/>
      <c r="R588" s="4"/>
      <c r="S588" s="4"/>
      <c r="T588" s="4"/>
      <c r="U588" s="4"/>
      <c r="V588" s="4"/>
      <c r="X588" s="4"/>
      <c r="Y588" s="4"/>
      <c r="AA588" s="4"/>
      <c r="AB588" s="4"/>
      <c r="AC588" s="4"/>
      <c r="AD588" s="95"/>
    </row>
    <row r="589" spans="14:30">
      <c r="N589" s="7"/>
      <c r="P589" s="86"/>
      <c r="Q589" s="4"/>
      <c r="R589" s="4"/>
      <c r="S589" s="4"/>
      <c r="T589" s="4"/>
      <c r="U589" s="4"/>
      <c r="V589" s="4"/>
      <c r="X589" s="4"/>
      <c r="Y589" s="4"/>
      <c r="AA589" s="4"/>
      <c r="AB589" s="4"/>
      <c r="AC589" s="4"/>
      <c r="AD589" s="95"/>
    </row>
    <row r="590" spans="14:30">
      <c r="N590" s="7"/>
      <c r="P590" s="86"/>
      <c r="Q590" s="4"/>
      <c r="R590" s="4"/>
      <c r="S590" s="4"/>
      <c r="T590" s="4"/>
      <c r="U590" s="4"/>
      <c r="V590" s="4"/>
      <c r="X590" s="4"/>
      <c r="Y590" s="4"/>
      <c r="AA590" s="4"/>
      <c r="AB590" s="4"/>
      <c r="AC590" s="4"/>
      <c r="AD590" s="95"/>
    </row>
    <row r="591" spans="14:30">
      <c r="N591" s="7"/>
      <c r="P591" s="86"/>
      <c r="Q591" s="4"/>
      <c r="R591" s="4"/>
      <c r="S591" s="4"/>
      <c r="T591" s="4"/>
      <c r="U591" s="4"/>
      <c r="V591" s="4"/>
      <c r="X591" s="4"/>
      <c r="Y591" s="4"/>
      <c r="AA591" s="4"/>
      <c r="AB591" s="4"/>
      <c r="AC591" s="4"/>
      <c r="AD591" s="95"/>
    </row>
    <row r="592" spans="14:30">
      <c r="N592" s="7"/>
      <c r="P592" s="86"/>
      <c r="Q592" s="4"/>
      <c r="R592" s="4"/>
      <c r="S592" s="4"/>
      <c r="T592" s="4"/>
      <c r="U592" s="4"/>
      <c r="V592" s="4"/>
      <c r="X592" s="4"/>
      <c r="Y592" s="4"/>
      <c r="AA592" s="4"/>
      <c r="AB592" s="4"/>
      <c r="AC592" s="4"/>
      <c r="AD592" s="95"/>
    </row>
    <row r="593" spans="14:30">
      <c r="N593" s="7"/>
      <c r="P593" s="86"/>
      <c r="Q593" s="4"/>
      <c r="R593" s="4"/>
      <c r="S593" s="4"/>
      <c r="T593" s="4"/>
      <c r="U593" s="4"/>
      <c r="V593" s="4"/>
      <c r="X593" s="4"/>
      <c r="Y593" s="4"/>
      <c r="AA593" s="4"/>
      <c r="AB593" s="4"/>
      <c r="AC593" s="4"/>
      <c r="AD593" s="95"/>
    </row>
    <row r="594" spans="14:30">
      <c r="N594" s="7"/>
      <c r="P594" s="86"/>
      <c r="Q594" s="4"/>
      <c r="R594" s="4"/>
      <c r="S594" s="4"/>
      <c r="T594" s="4"/>
      <c r="U594" s="4"/>
      <c r="V594" s="4"/>
      <c r="X594" s="4"/>
      <c r="Y594" s="4"/>
      <c r="AA594" s="4"/>
      <c r="AB594" s="4"/>
      <c r="AC594" s="4"/>
      <c r="AD594" s="95"/>
    </row>
    <row r="595" spans="14:30">
      <c r="N595" s="7"/>
      <c r="P595" s="86"/>
      <c r="Q595" s="4"/>
      <c r="R595" s="4"/>
      <c r="S595" s="4"/>
      <c r="T595" s="4"/>
      <c r="U595" s="4"/>
      <c r="V595" s="4"/>
      <c r="X595" s="4"/>
      <c r="Y595" s="4"/>
      <c r="AA595" s="4"/>
      <c r="AB595" s="4"/>
      <c r="AC595" s="4"/>
      <c r="AD595" s="95"/>
    </row>
    <row r="596" spans="14:30">
      <c r="N596" s="7"/>
      <c r="P596" s="86"/>
      <c r="Q596" s="4"/>
      <c r="R596" s="4"/>
      <c r="S596" s="4"/>
      <c r="T596" s="4"/>
      <c r="U596" s="4"/>
      <c r="V596" s="4"/>
      <c r="X596" s="4"/>
      <c r="Y596" s="4"/>
      <c r="AA596" s="4"/>
      <c r="AB596" s="4"/>
      <c r="AC596" s="4"/>
      <c r="AD596" s="95"/>
    </row>
    <row r="597" spans="14:30">
      <c r="N597" s="7"/>
      <c r="P597" s="86"/>
      <c r="Q597" s="4"/>
      <c r="R597" s="4"/>
      <c r="S597" s="4"/>
      <c r="T597" s="4"/>
      <c r="U597" s="4"/>
      <c r="V597" s="4"/>
      <c r="X597" s="4"/>
      <c r="Y597" s="4"/>
      <c r="AA597" s="4"/>
      <c r="AB597" s="4"/>
      <c r="AC597" s="4"/>
      <c r="AD597" s="95"/>
    </row>
    <row r="598" spans="14:30">
      <c r="N598" s="7"/>
      <c r="P598" s="86"/>
      <c r="Q598" s="4"/>
      <c r="R598" s="4"/>
      <c r="S598" s="4"/>
      <c r="T598" s="4"/>
      <c r="U598" s="4"/>
      <c r="V598" s="4"/>
      <c r="X598" s="4"/>
      <c r="Y598" s="4"/>
      <c r="AA598" s="4"/>
      <c r="AB598" s="4"/>
      <c r="AC598" s="4"/>
      <c r="AD598" s="95"/>
    </row>
    <row r="599" spans="14:30">
      <c r="N599" s="7"/>
      <c r="P599" s="86"/>
      <c r="Q599" s="4"/>
      <c r="R599" s="4"/>
      <c r="S599" s="4"/>
      <c r="T599" s="4"/>
      <c r="U599" s="4"/>
      <c r="V599" s="4"/>
      <c r="X599" s="4"/>
      <c r="Y599" s="4"/>
      <c r="AA599" s="4"/>
      <c r="AB599" s="4"/>
      <c r="AC599" s="4"/>
      <c r="AD599" s="95"/>
    </row>
    <row r="600" spans="14:30">
      <c r="N600" s="7"/>
      <c r="P600" s="86"/>
      <c r="Q600" s="4"/>
      <c r="R600" s="4"/>
      <c r="S600" s="4"/>
      <c r="T600" s="4"/>
      <c r="U600" s="4"/>
      <c r="V600" s="4"/>
      <c r="X600" s="4"/>
      <c r="Y600" s="4"/>
      <c r="AA600" s="4"/>
      <c r="AB600" s="4"/>
      <c r="AC600" s="4"/>
      <c r="AD600" s="95"/>
    </row>
    <row r="601" spans="14:30">
      <c r="N601" s="7"/>
      <c r="P601" s="86"/>
      <c r="Q601" s="4"/>
      <c r="R601" s="4"/>
      <c r="S601" s="4"/>
      <c r="T601" s="4"/>
      <c r="U601" s="4"/>
      <c r="V601" s="4"/>
      <c r="X601" s="4"/>
      <c r="Y601" s="4"/>
      <c r="AA601" s="4"/>
      <c r="AB601" s="4"/>
      <c r="AC601" s="4"/>
      <c r="AD601" s="95"/>
    </row>
    <row r="602" spans="14:30">
      <c r="N602" s="7"/>
      <c r="P602" s="86"/>
      <c r="Q602" s="4"/>
      <c r="R602" s="4"/>
      <c r="S602" s="4"/>
      <c r="T602" s="4"/>
      <c r="U602" s="4"/>
      <c r="V602" s="4"/>
      <c r="X602" s="4"/>
      <c r="Y602" s="4"/>
      <c r="AA602" s="4"/>
      <c r="AB602" s="4"/>
      <c r="AC602" s="4"/>
      <c r="AD602" s="95"/>
    </row>
    <row r="603" spans="14:30">
      <c r="N603" s="7"/>
      <c r="P603" s="86"/>
      <c r="Q603" s="4"/>
      <c r="R603" s="4"/>
      <c r="S603" s="4"/>
      <c r="T603" s="4"/>
      <c r="U603" s="4"/>
      <c r="V603" s="4"/>
      <c r="X603" s="4"/>
      <c r="Y603" s="4"/>
      <c r="AA603" s="4"/>
      <c r="AB603" s="4"/>
      <c r="AC603" s="4"/>
      <c r="AD603" s="95"/>
    </row>
    <row r="604" spans="14:30">
      <c r="N604" s="7"/>
      <c r="P604" s="86"/>
      <c r="Q604" s="4"/>
      <c r="R604" s="4"/>
      <c r="S604" s="4"/>
      <c r="T604" s="4"/>
      <c r="U604" s="4"/>
      <c r="V604" s="4"/>
      <c r="X604" s="4"/>
      <c r="Y604" s="4"/>
      <c r="AA604" s="4"/>
      <c r="AB604" s="4"/>
      <c r="AC604" s="4"/>
      <c r="AD604" s="95"/>
    </row>
    <row r="605" spans="14:30">
      <c r="N605" s="7"/>
      <c r="P605" s="86"/>
      <c r="Q605" s="4"/>
      <c r="R605" s="4"/>
      <c r="S605" s="4"/>
      <c r="T605" s="4"/>
      <c r="U605" s="4"/>
      <c r="V605" s="4"/>
      <c r="X605" s="4"/>
      <c r="Y605" s="4"/>
      <c r="AA605" s="4"/>
      <c r="AB605" s="4"/>
      <c r="AC605" s="4"/>
      <c r="AD605" s="95"/>
    </row>
    <row r="606" spans="14:30">
      <c r="N606" s="7"/>
      <c r="P606" s="86"/>
      <c r="Q606" s="4"/>
      <c r="R606" s="4"/>
      <c r="S606" s="4"/>
      <c r="T606" s="4"/>
      <c r="U606" s="4"/>
      <c r="V606" s="4"/>
      <c r="X606" s="4"/>
      <c r="Y606" s="4"/>
      <c r="AA606" s="4"/>
      <c r="AB606" s="4"/>
      <c r="AC606" s="4"/>
      <c r="AD606" s="95"/>
    </row>
    <row r="607" spans="14:30">
      <c r="N607" s="7"/>
      <c r="P607" s="86"/>
      <c r="Q607" s="4"/>
      <c r="R607" s="4"/>
      <c r="S607" s="4"/>
      <c r="T607" s="4"/>
      <c r="U607" s="4"/>
      <c r="V607" s="4"/>
      <c r="X607" s="4"/>
      <c r="Y607" s="4"/>
      <c r="AA607" s="4"/>
      <c r="AB607" s="4"/>
      <c r="AC607" s="4"/>
      <c r="AD607" s="95"/>
    </row>
    <row r="608" spans="14:30">
      <c r="N608" s="7"/>
      <c r="P608" s="86"/>
      <c r="Q608" s="4"/>
      <c r="R608" s="4"/>
      <c r="S608" s="4"/>
      <c r="T608" s="4"/>
      <c r="U608" s="4"/>
      <c r="V608" s="4"/>
      <c r="X608" s="4"/>
      <c r="Y608" s="4"/>
      <c r="AA608" s="4"/>
      <c r="AB608" s="4"/>
      <c r="AC608" s="4"/>
      <c r="AD608" s="95"/>
    </row>
    <row r="609" spans="14:30">
      <c r="N609" s="7"/>
      <c r="P609" s="86"/>
      <c r="Q609" s="4"/>
      <c r="R609" s="4"/>
      <c r="S609" s="4"/>
      <c r="T609" s="4"/>
      <c r="U609" s="4"/>
      <c r="V609" s="4"/>
      <c r="X609" s="4"/>
      <c r="Y609" s="4"/>
      <c r="AA609" s="4"/>
      <c r="AB609" s="4"/>
      <c r="AC609" s="4"/>
      <c r="AD609" s="95"/>
    </row>
    <row r="610" spans="14:30">
      <c r="N610" s="7"/>
      <c r="P610" s="86"/>
      <c r="Q610" s="4"/>
      <c r="R610" s="4"/>
      <c r="S610" s="4"/>
      <c r="T610" s="4"/>
      <c r="U610" s="4"/>
      <c r="V610" s="4"/>
      <c r="X610" s="4"/>
      <c r="Y610" s="4"/>
      <c r="AA610" s="4"/>
      <c r="AB610" s="4"/>
      <c r="AC610" s="4"/>
      <c r="AD610" s="95"/>
    </row>
    <row r="611" spans="14:30">
      <c r="N611" s="7"/>
      <c r="P611" s="86"/>
      <c r="Q611" s="4"/>
      <c r="R611" s="4"/>
      <c r="S611" s="4"/>
      <c r="T611" s="4"/>
      <c r="U611" s="4"/>
      <c r="V611" s="4"/>
      <c r="X611" s="4"/>
      <c r="Y611" s="4"/>
      <c r="AA611" s="4"/>
      <c r="AB611" s="4"/>
      <c r="AC611" s="4"/>
      <c r="AD611" s="95"/>
    </row>
    <row r="612" spans="14:30">
      <c r="N612" s="7"/>
      <c r="P612" s="86"/>
      <c r="Q612" s="4"/>
      <c r="R612" s="4"/>
      <c r="S612" s="4"/>
      <c r="T612" s="4"/>
      <c r="U612" s="4"/>
      <c r="V612" s="4"/>
      <c r="X612" s="4"/>
      <c r="Y612" s="4"/>
      <c r="AA612" s="4"/>
      <c r="AB612" s="4"/>
      <c r="AC612" s="4"/>
      <c r="AD612" s="95"/>
    </row>
    <row r="613" spans="14:30">
      <c r="N613" s="7"/>
      <c r="P613" s="86"/>
      <c r="Q613" s="4"/>
      <c r="R613" s="4"/>
      <c r="S613" s="4"/>
      <c r="T613" s="4"/>
      <c r="U613" s="4"/>
      <c r="V613" s="4"/>
      <c r="X613" s="4"/>
      <c r="Y613" s="4"/>
      <c r="AA613" s="4"/>
      <c r="AB613" s="4"/>
      <c r="AC613" s="4"/>
      <c r="AD613" s="95"/>
    </row>
    <row r="614" spans="14:30">
      <c r="N614" s="7"/>
      <c r="P614" s="86"/>
      <c r="Q614" s="4"/>
      <c r="R614" s="4"/>
      <c r="S614" s="4"/>
      <c r="T614" s="4"/>
      <c r="U614" s="4"/>
      <c r="V614" s="4"/>
      <c r="X614" s="4"/>
      <c r="Y614" s="4"/>
      <c r="AA614" s="4"/>
      <c r="AB614" s="4"/>
      <c r="AC614" s="4"/>
      <c r="AD614" s="95"/>
    </row>
    <row r="615" spans="14:30">
      <c r="N615" s="7"/>
      <c r="P615" s="86"/>
      <c r="Q615" s="4"/>
      <c r="R615" s="4"/>
      <c r="S615" s="4"/>
      <c r="T615" s="4"/>
      <c r="U615" s="4"/>
      <c r="V615" s="4"/>
      <c r="X615" s="4"/>
      <c r="Y615" s="4"/>
      <c r="AA615" s="4"/>
      <c r="AB615" s="4"/>
      <c r="AC615" s="4"/>
      <c r="AD615" s="95"/>
    </row>
    <row r="616" spans="14:30">
      <c r="N616" s="7"/>
      <c r="P616" s="86"/>
      <c r="Q616" s="4"/>
      <c r="R616" s="4"/>
      <c r="S616" s="4"/>
      <c r="T616" s="4"/>
      <c r="U616" s="4"/>
      <c r="V616" s="4"/>
      <c r="X616" s="4"/>
      <c r="Y616" s="4"/>
      <c r="AA616" s="4"/>
      <c r="AB616" s="4"/>
      <c r="AC616" s="4"/>
      <c r="AD616" s="95"/>
    </row>
    <row r="617" spans="14:30">
      <c r="N617" s="7"/>
      <c r="P617" s="86"/>
      <c r="Q617" s="4"/>
      <c r="R617" s="4"/>
      <c r="S617" s="4"/>
      <c r="T617" s="4"/>
      <c r="U617" s="4"/>
      <c r="V617" s="4"/>
      <c r="X617" s="4"/>
      <c r="Y617" s="4"/>
      <c r="AA617" s="4"/>
      <c r="AB617" s="4"/>
      <c r="AC617" s="4"/>
      <c r="AD617" s="95"/>
    </row>
    <row r="618" spans="14:30">
      <c r="N618" s="7"/>
      <c r="P618" s="86"/>
      <c r="Q618" s="4"/>
      <c r="R618" s="4"/>
      <c r="S618" s="4"/>
      <c r="T618" s="4"/>
      <c r="U618" s="4"/>
      <c r="V618" s="4"/>
      <c r="X618" s="4"/>
      <c r="Y618" s="4"/>
      <c r="AA618" s="4"/>
      <c r="AB618" s="4"/>
      <c r="AC618" s="4"/>
      <c r="AD618" s="95"/>
    </row>
    <row r="619" spans="14:30">
      <c r="N619" s="7"/>
      <c r="P619" s="86"/>
      <c r="Q619" s="4"/>
      <c r="R619" s="4"/>
      <c r="S619" s="4"/>
      <c r="T619" s="4"/>
      <c r="U619" s="4"/>
      <c r="V619" s="4"/>
      <c r="X619" s="4"/>
      <c r="Y619" s="4"/>
      <c r="AA619" s="4"/>
      <c r="AB619" s="4"/>
      <c r="AC619" s="4"/>
      <c r="AD619" s="95"/>
    </row>
    <row r="620" spans="14:30">
      <c r="N620" s="7"/>
      <c r="P620" s="86"/>
      <c r="Q620" s="4"/>
      <c r="R620" s="4"/>
      <c r="S620" s="4"/>
      <c r="T620" s="4"/>
      <c r="U620" s="4"/>
      <c r="V620" s="4"/>
      <c r="X620" s="4"/>
      <c r="Y620" s="4"/>
      <c r="AA620" s="4"/>
      <c r="AB620" s="4"/>
      <c r="AC620" s="4"/>
      <c r="AD620" s="95"/>
    </row>
    <row r="621" spans="14:30">
      <c r="N621" s="7"/>
      <c r="P621" s="86"/>
      <c r="Q621" s="4"/>
      <c r="R621" s="4"/>
      <c r="S621" s="4"/>
      <c r="T621" s="4"/>
      <c r="U621" s="4"/>
      <c r="V621" s="4"/>
      <c r="X621" s="4"/>
      <c r="Y621" s="4"/>
      <c r="AA621" s="4"/>
      <c r="AB621" s="4"/>
      <c r="AC621" s="4"/>
      <c r="AD621" s="95"/>
    </row>
    <row r="622" spans="14:30">
      <c r="N622" s="7"/>
      <c r="P622" s="86"/>
      <c r="Q622" s="4"/>
      <c r="R622" s="4"/>
      <c r="S622" s="4"/>
      <c r="T622" s="4"/>
      <c r="U622" s="4"/>
      <c r="V622" s="4"/>
      <c r="X622" s="4"/>
      <c r="Y622" s="4"/>
      <c r="AA622" s="4"/>
      <c r="AB622" s="4"/>
      <c r="AC622" s="4"/>
      <c r="AD622" s="95"/>
    </row>
    <row r="623" spans="14:30">
      <c r="N623" s="7"/>
      <c r="P623" s="86"/>
      <c r="Q623" s="4"/>
      <c r="R623" s="4"/>
      <c r="S623" s="4"/>
      <c r="T623" s="4"/>
      <c r="U623" s="4"/>
      <c r="V623" s="4"/>
      <c r="X623" s="4"/>
      <c r="Y623" s="4"/>
      <c r="AA623" s="4"/>
      <c r="AB623" s="4"/>
      <c r="AC623" s="4"/>
      <c r="AD623" s="95"/>
    </row>
    <row r="624" spans="14:30">
      <c r="N624" s="7"/>
      <c r="P624" s="86"/>
      <c r="Q624" s="4"/>
      <c r="R624" s="4"/>
      <c r="S624" s="4"/>
      <c r="T624" s="4"/>
      <c r="U624" s="4"/>
      <c r="V624" s="4"/>
      <c r="X624" s="4"/>
      <c r="Y624" s="4"/>
      <c r="AA624" s="4"/>
      <c r="AB624" s="4"/>
      <c r="AC624" s="4"/>
      <c r="AD624" s="95"/>
    </row>
    <row r="625" spans="14:30">
      <c r="N625" s="7"/>
      <c r="P625" s="86"/>
      <c r="Q625" s="4"/>
      <c r="R625" s="4"/>
      <c r="S625" s="4"/>
      <c r="T625" s="4"/>
      <c r="U625" s="4"/>
      <c r="V625" s="4"/>
      <c r="X625" s="4"/>
      <c r="Y625" s="4"/>
      <c r="AA625" s="4"/>
      <c r="AB625" s="4"/>
      <c r="AC625" s="4"/>
      <c r="AD625" s="95"/>
    </row>
    <row r="626" spans="14:30">
      <c r="N626" s="7"/>
      <c r="P626" s="86"/>
      <c r="Q626" s="4"/>
      <c r="R626" s="4"/>
      <c r="S626" s="4"/>
      <c r="T626" s="4"/>
      <c r="U626" s="4"/>
      <c r="V626" s="4"/>
      <c r="X626" s="4"/>
      <c r="Y626" s="4"/>
      <c r="AA626" s="4"/>
      <c r="AB626" s="4"/>
      <c r="AC626" s="4"/>
      <c r="AD626" s="95"/>
    </row>
    <row r="627" spans="14:30">
      <c r="N627" s="7"/>
      <c r="P627" s="86"/>
      <c r="Q627" s="4"/>
      <c r="R627" s="4"/>
      <c r="S627" s="4"/>
      <c r="T627" s="4"/>
      <c r="U627" s="4"/>
      <c r="V627" s="4"/>
      <c r="X627" s="4"/>
      <c r="Y627" s="4"/>
      <c r="AA627" s="4"/>
      <c r="AB627" s="4"/>
      <c r="AC627" s="4"/>
      <c r="AD627" s="95"/>
    </row>
    <row r="628" spans="14:30">
      <c r="N628" s="7"/>
      <c r="P628" s="86"/>
      <c r="Q628" s="4"/>
      <c r="R628" s="4"/>
      <c r="S628" s="4"/>
      <c r="T628" s="4"/>
      <c r="U628" s="4"/>
      <c r="V628" s="4"/>
      <c r="X628" s="4"/>
      <c r="Y628" s="4"/>
      <c r="AA628" s="4"/>
      <c r="AB628" s="4"/>
      <c r="AC628" s="4"/>
      <c r="AD628" s="95"/>
    </row>
    <row r="629" spans="14:30">
      <c r="N629" s="7"/>
      <c r="P629" s="86"/>
      <c r="Q629" s="4"/>
      <c r="R629" s="4"/>
      <c r="S629" s="4"/>
      <c r="T629" s="4"/>
      <c r="U629" s="4"/>
      <c r="V629" s="4"/>
      <c r="X629" s="4"/>
      <c r="Y629" s="4"/>
      <c r="AA629" s="4"/>
      <c r="AB629" s="4"/>
      <c r="AC629" s="4"/>
      <c r="AD629" s="95"/>
    </row>
    <row r="630" spans="14:30">
      <c r="N630" s="7"/>
      <c r="P630" s="86"/>
      <c r="Q630" s="4"/>
      <c r="R630" s="4"/>
      <c r="S630" s="4"/>
      <c r="T630" s="4"/>
      <c r="U630" s="4"/>
      <c r="V630" s="4"/>
      <c r="X630" s="4"/>
      <c r="Y630" s="4"/>
      <c r="AA630" s="4"/>
      <c r="AB630" s="4"/>
      <c r="AC630" s="4"/>
      <c r="AD630" s="95"/>
    </row>
    <row r="631" spans="14:30">
      <c r="N631" s="7"/>
      <c r="P631" s="86"/>
      <c r="Q631" s="4"/>
      <c r="R631" s="4"/>
      <c r="S631" s="4"/>
      <c r="T631" s="4"/>
      <c r="U631" s="4"/>
      <c r="V631" s="4"/>
      <c r="X631" s="4"/>
      <c r="Y631" s="4"/>
      <c r="AA631" s="4"/>
      <c r="AB631" s="4"/>
      <c r="AC631" s="4"/>
      <c r="AD631" s="95"/>
    </row>
    <row r="632" spans="14:30">
      <c r="N632" s="7"/>
      <c r="P632" s="86"/>
      <c r="Q632" s="4"/>
      <c r="R632" s="4"/>
      <c r="S632" s="4"/>
      <c r="T632" s="4"/>
      <c r="U632" s="4"/>
      <c r="V632" s="4"/>
      <c r="X632" s="4"/>
      <c r="Y632" s="4"/>
      <c r="AA632" s="4"/>
      <c r="AB632" s="4"/>
      <c r="AC632" s="4"/>
      <c r="AD632" s="95"/>
    </row>
    <row r="633" spans="14:30">
      <c r="N633" s="7"/>
      <c r="P633" s="86"/>
      <c r="Q633" s="4"/>
      <c r="R633" s="4"/>
      <c r="S633" s="4"/>
      <c r="T633" s="4"/>
      <c r="U633" s="4"/>
      <c r="V633" s="4"/>
      <c r="X633" s="4"/>
      <c r="Y633" s="4"/>
      <c r="AA633" s="4"/>
      <c r="AB633" s="4"/>
      <c r="AC633" s="4"/>
      <c r="AD633" s="95"/>
    </row>
    <row r="634" spans="14:30">
      <c r="N634" s="7"/>
      <c r="P634" s="86"/>
      <c r="Q634" s="4"/>
      <c r="R634" s="4"/>
      <c r="S634" s="4"/>
      <c r="T634" s="4"/>
      <c r="U634" s="4"/>
      <c r="V634" s="4"/>
      <c r="X634" s="4"/>
      <c r="Y634" s="4"/>
      <c r="AA634" s="4"/>
      <c r="AB634" s="4"/>
      <c r="AC634" s="4"/>
      <c r="AD634" s="95"/>
    </row>
    <row r="635" spans="14:30">
      <c r="N635" s="7"/>
      <c r="P635" s="86"/>
      <c r="Q635" s="4"/>
      <c r="R635" s="4"/>
      <c r="S635" s="4"/>
      <c r="T635" s="4"/>
      <c r="U635" s="4"/>
      <c r="V635" s="4"/>
      <c r="X635" s="4"/>
      <c r="Y635" s="4"/>
      <c r="AA635" s="4"/>
      <c r="AB635" s="4"/>
      <c r="AC635" s="4"/>
      <c r="AD635" s="95"/>
    </row>
    <row r="636" spans="14:30">
      <c r="N636" s="7"/>
      <c r="P636" s="86"/>
      <c r="Q636" s="4"/>
      <c r="R636" s="4"/>
      <c r="S636" s="4"/>
      <c r="T636" s="4"/>
      <c r="U636" s="4"/>
      <c r="V636" s="4"/>
      <c r="X636" s="4"/>
      <c r="Y636" s="4"/>
      <c r="AA636" s="4"/>
      <c r="AB636" s="4"/>
      <c r="AC636" s="4"/>
      <c r="AD636" s="95"/>
    </row>
    <row r="637" spans="14:30">
      <c r="N637" s="7"/>
      <c r="P637" s="86"/>
      <c r="Q637" s="4"/>
      <c r="R637" s="4"/>
      <c r="S637" s="4"/>
      <c r="T637" s="4"/>
      <c r="U637" s="4"/>
      <c r="V637" s="4"/>
      <c r="X637" s="4"/>
      <c r="Y637" s="4"/>
      <c r="AA637" s="4"/>
      <c r="AB637" s="4"/>
      <c r="AC637" s="4"/>
      <c r="AD637" s="95"/>
    </row>
    <row r="638" spans="14:30">
      <c r="N638" s="7"/>
      <c r="P638" s="86"/>
      <c r="Q638" s="4"/>
      <c r="R638" s="4"/>
      <c r="S638" s="4"/>
      <c r="T638" s="4"/>
      <c r="U638" s="4"/>
      <c r="V638" s="4"/>
      <c r="X638" s="4"/>
      <c r="Y638" s="4"/>
      <c r="AA638" s="4"/>
      <c r="AB638" s="4"/>
      <c r="AC638" s="4"/>
      <c r="AD638" s="95"/>
    </row>
    <row r="639" spans="14:30">
      <c r="N639" s="7"/>
      <c r="P639" s="86"/>
      <c r="Q639" s="4"/>
      <c r="R639" s="4"/>
      <c r="S639" s="4"/>
      <c r="T639" s="4"/>
      <c r="U639" s="4"/>
      <c r="V639" s="4"/>
      <c r="X639" s="4"/>
      <c r="Y639" s="4"/>
      <c r="AA639" s="4"/>
      <c r="AB639" s="4"/>
      <c r="AC639" s="4"/>
      <c r="AD639" s="95"/>
    </row>
    <row r="640" spans="14:30">
      <c r="N640" s="7"/>
      <c r="P640" s="86"/>
      <c r="Q640" s="4"/>
      <c r="R640" s="4"/>
      <c r="S640" s="4"/>
      <c r="T640" s="4"/>
      <c r="U640" s="4"/>
      <c r="V640" s="4"/>
      <c r="X640" s="4"/>
      <c r="Y640" s="4"/>
      <c r="AA640" s="4"/>
      <c r="AB640" s="4"/>
      <c r="AC640" s="4"/>
      <c r="AD640" s="95"/>
    </row>
    <row r="641" spans="14:30">
      <c r="N641" s="7"/>
      <c r="P641" s="86"/>
      <c r="Q641" s="4"/>
      <c r="R641" s="4"/>
      <c r="S641" s="4"/>
      <c r="T641" s="4"/>
      <c r="U641" s="4"/>
      <c r="V641" s="4"/>
      <c r="X641" s="4"/>
      <c r="Y641" s="4"/>
      <c r="AA641" s="4"/>
      <c r="AB641" s="4"/>
      <c r="AC641" s="4"/>
      <c r="AD641" s="95"/>
    </row>
    <row r="642" spans="14:30">
      <c r="N642" s="7"/>
      <c r="P642" s="86"/>
      <c r="Q642" s="4"/>
      <c r="R642" s="4"/>
      <c r="S642" s="4"/>
      <c r="T642" s="4"/>
      <c r="U642" s="4"/>
      <c r="V642" s="4"/>
      <c r="X642" s="4"/>
      <c r="Y642" s="4"/>
      <c r="AA642" s="4"/>
      <c r="AB642" s="4"/>
      <c r="AC642" s="4"/>
      <c r="AD642" s="95"/>
    </row>
    <row r="643" spans="14:30">
      <c r="N643" s="7"/>
      <c r="P643" s="86"/>
      <c r="Q643" s="4"/>
      <c r="R643" s="4"/>
      <c r="S643" s="4"/>
      <c r="T643" s="4"/>
      <c r="U643" s="4"/>
      <c r="V643" s="4"/>
      <c r="X643" s="4"/>
      <c r="Y643" s="4"/>
      <c r="AA643" s="4"/>
      <c r="AB643" s="4"/>
      <c r="AC643" s="4"/>
      <c r="AD643" s="95"/>
    </row>
    <row r="644" spans="14:30">
      <c r="N644" s="7"/>
      <c r="P644" s="86"/>
      <c r="Q644" s="4"/>
      <c r="R644" s="4"/>
      <c r="S644" s="4"/>
      <c r="T644" s="4"/>
      <c r="U644" s="4"/>
      <c r="V644" s="4"/>
      <c r="X644" s="4"/>
      <c r="Y644" s="4"/>
      <c r="AA644" s="4"/>
      <c r="AB644" s="4"/>
      <c r="AC644" s="4"/>
      <c r="AD644" s="95"/>
    </row>
    <row r="645" spans="14:30">
      <c r="N645" s="7"/>
      <c r="P645" s="86"/>
      <c r="Q645" s="4"/>
      <c r="R645" s="4"/>
      <c r="S645" s="4"/>
      <c r="T645" s="4"/>
      <c r="U645" s="4"/>
      <c r="V645" s="4"/>
      <c r="X645" s="4"/>
      <c r="Y645" s="4"/>
      <c r="AA645" s="4"/>
      <c r="AB645" s="4"/>
      <c r="AC645" s="4"/>
      <c r="AD645" s="95"/>
    </row>
    <row r="646" spans="14:30">
      <c r="N646" s="7"/>
      <c r="P646" s="86"/>
      <c r="Q646" s="4"/>
      <c r="R646" s="4"/>
      <c r="S646" s="4"/>
      <c r="T646" s="4"/>
      <c r="U646" s="4"/>
      <c r="V646" s="4"/>
      <c r="X646" s="4"/>
      <c r="Y646" s="4"/>
      <c r="AA646" s="4"/>
      <c r="AB646" s="4"/>
      <c r="AC646" s="4"/>
      <c r="AD646" s="95"/>
    </row>
    <row r="647" spans="14:30">
      <c r="N647" s="7"/>
      <c r="P647" s="86"/>
      <c r="Q647" s="4"/>
      <c r="R647" s="4"/>
      <c r="S647" s="4"/>
      <c r="T647" s="4"/>
      <c r="U647" s="4"/>
      <c r="V647" s="4"/>
      <c r="X647" s="4"/>
      <c r="Y647" s="4"/>
      <c r="AA647" s="4"/>
      <c r="AB647" s="4"/>
      <c r="AC647" s="4"/>
      <c r="AD647" s="95"/>
    </row>
    <row r="648" spans="14:30">
      <c r="N648" s="7"/>
      <c r="P648" s="86"/>
      <c r="Q648" s="4"/>
      <c r="R648" s="4"/>
      <c r="S648" s="4"/>
      <c r="T648" s="4"/>
      <c r="U648" s="4"/>
      <c r="V648" s="4"/>
      <c r="X648" s="4"/>
      <c r="Y648" s="4"/>
      <c r="AA648" s="4"/>
      <c r="AB648" s="4"/>
      <c r="AC648" s="4"/>
      <c r="AD648" s="95"/>
    </row>
    <row r="649" spans="14:30">
      <c r="N649" s="7"/>
      <c r="P649" s="86"/>
      <c r="Q649" s="4"/>
      <c r="R649" s="4"/>
      <c r="S649" s="4"/>
      <c r="T649" s="4"/>
      <c r="U649" s="4"/>
      <c r="V649" s="4"/>
      <c r="X649" s="4"/>
      <c r="Y649" s="4"/>
      <c r="AA649" s="4"/>
      <c r="AB649" s="4"/>
      <c r="AC649" s="4"/>
      <c r="AD649" s="95"/>
    </row>
    <row r="650" spans="14:30">
      <c r="N650" s="7"/>
      <c r="P650" s="86"/>
      <c r="Q650" s="4"/>
      <c r="R650" s="4"/>
      <c r="S650" s="4"/>
      <c r="T650" s="4"/>
      <c r="U650" s="4"/>
      <c r="V650" s="4"/>
      <c r="X650" s="4"/>
      <c r="Y650" s="4"/>
      <c r="AA650" s="4"/>
      <c r="AB650" s="4"/>
      <c r="AC650" s="4"/>
      <c r="AD650" s="95"/>
    </row>
    <row r="651" spans="14:30">
      <c r="N651" s="7"/>
      <c r="P651" s="86"/>
      <c r="Q651" s="4"/>
      <c r="R651" s="4"/>
      <c r="S651" s="4"/>
      <c r="T651" s="4"/>
      <c r="U651" s="4"/>
      <c r="V651" s="4"/>
      <c r="X651" s="4"/>
      <c r="Y651" s="4"/>
      <c r="AA651" s="4"/>
      <c r="AB651" s="4"/>
      <c r="AC651" s="4"/>
      <c r="AD651" s="95"/>
    </row>
    <row r="652" spans="14:30">
      <c r="N652" s="7"/>
      <c r="P652" s="86"/>
      <c r="Q652" s="4"/>
      <c r="R652" s="4"/>
      <c r="S652" s="4"/>
      <c r="T652" s="4"/>
      <c r="U652" s="4"/>
      <c r="V652" s="4"/>
      <c r="X652" s="4"/>
      <c r="Y652" s="4"/>
      <c r="AA652" s="4"/>
      <c r="AB652" s="4"/>
      <c r="AC652" s="4"/>
      <c r="AD652" s="95"/>
    </row>
    <row r="653" spans="14:30">
      <c r="N653" s="7"/>
      <c r="P653" s="86"/>
      <c r="Q653" s="4"/>
      <c r="R653" s="4"/>
      <c r="S653" s="4"/>
      <c r="T653" s="4"/>
      <c r="U653" s="4"/>
      <c r="V653" s="4"/>
      <c r="X653" s="4"/>
      <c r="Y653" s="4"/>
      <c r="AA653" s="4"/>
      <c r="AB653" s="4"/>
      <c r="AC653" s="4"/>
      <c r="AD653" s="95"/>
    </row>
    <row r="654" spans="14:30">
      <c r="N654" s="7"/>
      <c r="P654" s="86"/>
      <c r="Q654" s="4"/>
      <c r="R654" s="4"/>
      <c r="S654" s="4"/>
      <c r="T654" s="4"/>
      <c r="U654" s="4"/>
      <c r="V654" s="4"/>
      <c r="X654" s="4"/>
      <c r="Y654" s="4"/>
      <c r="AA654" s="4"/>
      <c r="AB654" s="4"/>
      <c r="AC654" s="4"/>
      <c r="AD654" s="95"/>
    </row>
    <row r="655" spans="14:30">
      <c r="N655" s="7"/>
      <c r="P655" s="86"/>
      <c r="Q655" s="4"/>
      <c r="R655" s="4"/>
      <c r="S655" s="4"/>
      <c r="T655" s="4"/>
      <c r="U655" s="4"/>
      <c r="V655" s="4"/>
      <c r="X655" s="4"/>
      <c r="Y655" s="4"/>
      <c r="AA655" s="4"/>
      <c r="AB655" s="4"/>
      <c r="AC655" s="4"/>
      <c r="AD655" s="95"/>
    </row>
    <row r="656" spans="14:30">
      <c r="N656" s="7"/>
      <c r="P656" s="86"/>
      <c r="Q656" s="4"/>
      <c r="R656" s="4"/>
      <c r="S656" s="4"/>
      <c r="T656" s="4"/>
      <c r="U656" s="4"/>
      <c r="V656" s="4"/>
      <c r="X656" s="4"/>
      <c r="Y656" s="4"/>
      <c r="AA656" s="4"/>
      <c r="AB656" s="4"/>
      <c r="AC656" s="4"/>
      <c r="AD656" s="95"/>
    </row>
    <row r="657" spans="14:30">
      <c r="N657" s="7"/>
      <c r="P657" s="86"/>
      <c r="Q657" s="4"/>
      <c r="R657" s="4"/>
      <c r="S657" s="4"/>
      <c r="T657" s="4"/>
      <c r="U657" s="4"/>
      <c r="V657" s="4"/>
      <c r="X657" s="4"/>
      <c r="Y657" s="4"/>
      <c r="AA657" s="4"/>
      <c r="AB657" s="4"/>
      <c r="AC657" s="4"/>
      <c r="AD657" s="95"/>
    </row>
    <row r="658" spans="14:30">
      <c r="N658" s="7"/>
      <c r="P658" s="86"/>
      <c r="Q658" s="4"/>
      <c r="R658" s="4"/>
      <c r="S658" s="4"/>
      <c r="T658" s="4"/>
      <c r="U658" s="4"/>
      <c r="V658" s="4"/>
      <c r="X658" s="4"/>
      <c r="Y658" s="4"/>
      <c r="AA658" s="4"/>
      <c r="AB658" s="4"/>
      <c r="AC658" s="4"/>
      <c r="AD658" s="95"/>
    </row>
    <row r="659" spans="14:30">
      <c r="N659" s="7"/>
      <c r="P659" s="86"/>
      <c r="Q659" s="4"/>
      <c r="R659" s="4"/>
      <c r="S659" s="4"/>
      <c r="T659" s="4"/>
      <c r="U659" s="4"/>
      <c r="V659" s="4"/>
      <c r="X659" s="4"/>
      <c r="Y659" s="4"/>
      <c r="AA659" s="4"/>
      <c r="AB659" s="4"/>
      <c r="AC659" s="4"/>
      <c r="AD659" s="95"/>
    </row>
    <row r="660" spans="14:30">
      <c r="N660" s="7"/>
      <c r="P660" s="86"/>
      <c r="Q660" s="4"/>
      <c r="R660" s="4"/>
      <c r="S660" s="4"/>
      <c r="T660" s="4"/>
      <c r="U660" s="4"/>
      <c r="V660" s="4"/>
      <c r="X660" s="4"/>
      <c r="Y660" s="4"/>
      <c r="AA660" s="4"/>
      <c r="AB660" s="4"/>
      <c r="AC660" s="4"/>
      <c r="AD660" s="95"/>
    </row>
    <row r="661" spans="14:30">
      <c r="N661" s="7"/>
      <c r="P661" s="86"/>
      <c r="Q661" s="4"/>
      <c r="R661" s="4"/>
      <c r="S661" s="4"/>
      <c r="T661" s="4"/>
      <c r="U661" s="4"/>
      <c r="V661" s="4"/>
      <c r="X661" s="4"/>
      <c r="Y661" s="4"/>
      <c r="AA661" s="4"/>
      <c r="AB661" s="4"/>
      <c r="AC661" s="4"/>
      <c r="AD661" s="95"/>
    </row>
    <row r="662" spans="14:30">
      <c r="N662" s="7"/>
      <c r="P662" s="86"/>
      <c r="Q662" s="4"/>
      <c r="R662" s="4"/>
      <c r="S662" s="4"/>
      <c r="T662" s="4"/>
      <c r="U662" s="4"/>
      <c r="V662" s="4"/>
      <c r="X662" s="4"/>
      <c r="Y662" s="4"/>
      <c r="AA662" s="4"/>
      <c r="AB662" s="4"/>
      <c r="AC662" s="4"/>
      <c r="AD662" s="95"/>
    </row>
    <row r="663" spans="14:30">
      <c r="N663" s="7"/>
      <c r="P663" s="86"/>
      <c r="Q663" s="4"/>
      <c r="R663" s="4"/>
      <c r="S663" s="4"/>
      <c r="T663" s="4"/>
      <c r="U663" s="4"/>
      <c r="V663" s="4"/>
      <c r="X663" s="4"/>
      <c r="Y663" s="4"/>
      <c r="AA663" s="4"/>
      <c r="AB663" s="4"/>
      <c r="AC663" s="4"/>
      <c r="AD663" s="95"/>
    </row>
    <row r="664" spans="14:30">
      <c r="N664" s="7"/>
      <c r="P664" s="86"/>
      <c r="Q664" s="4"/>
      <c r="R664" s="4"/>
      <c r="S664" s="4"/>
      <c r="T664" s="4"/>
      <c r="U664" s="4"/>
      <c r="V664" s="4"/>
      <c r="X664" s="4"/>
      <c r="Y664" s="4"/>
      <c r="AA664" s="4"/>
      <c r="AB664" s="4"/>
      <c r="AC664" s="4"/>
      <c r="AD664" s="95"/>
    </row>
    <row r="665" spans="14:30">
      <c r="N665" s="7"/>
      <c r="P665" s="86"/>
      <c r="Q665" s="4"/>
      <c r="R665" s="4"/>
      <c r="S665" s="4"/>
      <c r="T665" s="4"/>
      <c r="U665" s="4"/>
      <c r="V665" s="4"/>
      <c r="X665" s="4"/>
      <c r="Y665" s="4"/>
      <c r="AA665" s="4"/>
      <c r="AB665" s="4"/>
      <c r="AC665" s="4"/>
      <c r="AD665" s="95"/>
    </row>
    <row r="666" spans="14:30">
      <c r="N666" s="7"/>
      <c r="P666" s="86"/>
      <c r="Q666" s="4"/>
      <c r="R666" s="4"/>
      <c r="S666" s="4"/>
      <c r="T666" s="4"/>
      <c r="U666" s="4"/>
      <c r="V666" s="4"/>
      <c r="X666" s="4"/>
      <c r="Y666" s="4"/>
      <c r="AA666" s="4"/>
      <c r="AB666" s="4"/>
      <c r="AC666" s="4"/>
      <c r="AD666" s="95"/>
    </row>
    <row r="667" spans="14:30">
      <c r="N667" s="7"/>
      <c r="P667" s="86"/>
      <c r="Q667" s="4"/>
      <c r="R667" s="4"/>
      <c r="S667" s="4"/>
      <c r="T667" s="4"/>
      <c r="U667" s="4"/>
      <c r="V667" s="4"/>
      <c r="X667" s="4"/>
      <c r="Y667" s="4"/>
      <c r="AA667" s="4"/>
      <c r="AB667" s="4"/>
      <c r="AC667" s="4"/>
      <c r="AD667" s="95"/>
    </row>
    <row r="668" spans="14:30">
      <c r="N668" s="7"/>
      <c r="P668" s="86"/>
      <c r="Q668" s="4"/>
      <c r="R668" s="4"/>
      <c r="S668" s="4"/>
      <c r="T668" s="4"/>
      <c r="U668" s="4"/>
      <c r="V668" s="4"/>
      <c r="X668" s="4"/>
      <c r="Y668" s="4"/>
      <c r="AA668" s="4"/>
      <c r="AB668" s="4"/>
      <c r="AC668" s="4"/>
      <c r="AD668" s="95"/>
    </row>
    <row r="669" spans="14:30">
      <c r="N669" s="7"/>
      <c r="P669" s="86"/>
      <c r="Q669" s="4"/>
      <c r="R669" s="4"/>
      <c r="S669" s="4"/>
      <c r="T669" s="4"/>
      <c r="U669" s="4"/>
      <c r="V669" s="4"/>
      <c r="X669" s="4"/>
      <c r="Y669" s="4"/>
      <c r="AA669" s="4"/>
      <c r="AB669" s="4"/>
      <c r="AC669" s="4"/>
      <c r="AD669" s="95"/>
    </row>
    <row r="670" spans="14:30">
      <c r="N670" s="7"/>
      <c r="P670" s="86"/>
      <c r="Q670" s="4"/>
      <c r="R670" s="4"/>
      <c r="S670" s="4"/>
      <c r="T670" s="4"/>
      <c r="U670" s="4"/>
      <c r="V670" s="4"/>
      <c r="X670" s="4"/>
      <c r="Y670" s="4"/>
      <c r="AA670" s="4"/>
      <c r="AB670" s="4"/>
      <c r="AC670" s="4"/>
      <c r="AD670" s="95"/>
    </row>
    <row r="671" spans="14:30">
      <c r="N671" s="7"/>
      <c r="P671" s="86"/>
      <c r="Q671" s="4"/>
      <c r="R671" s="4"/>
      <c r="S671" s="4"/>
      <c r="T671" s="4"/>
      <c r="U671" s="4"/>
      <c r="V671" s="4"/>
      <c r="X671" s="4"/>
      <c r="Y671" s="4"/>
      <c r="AA671" s="4"/>
      <c r="AB671" s="4"/>
      <c r="AC671" s="4"/>
      <c r="AD671" s="95"/>
    </row>
    <row r="672" spans="14:30">
      <c r="N672" s="7"/>
      <c r="P672" s="86"/>
      <c r="Q672" s="4"/>
      <c r="R672" s="4"/>
      <c r="S672" s="4"/>
      <c r="T672" s="4"/>
      <c r="U672" s="4"/>
      <c r="V672" s="4"/>
      <c r="X672" s="4"/>
      <c r="Y672" s="4"/>
      <c r="AA672" s="4"/>
      <c r="AB672" s="4"/>
      <c r="AC672" s="4"/>
      <c r="AD672" s="95"/>
    </row>
    <row r="673" spans="14:30">
      <c r="N673" s="7"/>
      <c r="P673" s="86"/>
      <c r="Q673" s="4"/>
      <c r="R673" s="4"/>
      <c r="S673" s="4"/>
      <c r="T673" s="4"/>
      <c r="U673" s="4"/>
      <c r="V673" s="4"/>
      <c r="X673" s="4"/>
      <c r="Y673" s="4"/>
      <c r="AA673" s="4"/>
      <c r="AB673" s="4"/>
      <c r="AC673" s="4"/>
      <c r="AD673" s="95"/>
    </row>
    <row r="674" spans="14:30">
      <c r="N674" s="7"/>
      <c r="P674" s="86"/>
      <c r="Q674" s="4"/>
      <c r="R674" s="4"/>
      <c r="S674" s="4"/>
      <c r="T674" s="4"/>
      <c r="U674" s="4"/>
      <c r="V674" s="4"/>
      <c r="X674" s="4"/>
      <c r="Y674" s="4"/>
      <c r="AA674" s="4"/>
      <c r="AB674" s="4"/>
      <c r="AC674" s="4"/>
      <c r="AD674" s="95"/>
    </row>
    <row r="675" spans="14:30">
      <c r="N675" s="7"/>
      <c r="P675" s="86"/>
      <c r="Q675" s="4"/>
      <c r="R675" s="4"/>
      <c r="S675" s="4"/>
      <c r="T675" s="4"/>
      <c r="U675" s="4"/>
      <c r="V675" s="4"/>
      <c r="X675" s="4"/>
      <c r="Y675" s="4"/>
      <c r="AA675" s="4"/>
      <c r="AB675" s="4"/>
      <c r="AC675" s="4"/>
      <c r="AD675" s="95"/>
    </row>
    <row r="676" spans="14:30">
      <c r="N676" s="7"/>
      <c r="P676" s="86"/>
      <c r="Q676" s="4"/>
      <c r="R676" s="4"/>
      <c r="S676" s="4"/>
      <c r="T676" s="4"/>
      <c r="U676" s="4"/>
      <c r="V676" s="4"/>
      <c r="X676" s="4"/>
      <c r="Y676" s="4"/>
      <c r="AA676" s="4"/>
      <c r="AB676" s="4"/>
      <c r="AC676" s="4"/>
      <c r="AD676" s="95"/>
    </row>
    <row r="677" spans="14:30">
      <c r="N677" s="7"/>
      <c r="P677" s="86"/>
      <c r="Q677" s="4"/>
      <c r="R677" s="4"/>
      <c r="S677" s="4"/>
      <c r="T677" s="4"/>
      <c r="U677" s="4"/>
      <c r="V677" s="4"/>
      <c r="X677" s="4"/>
      <c r="Y677" s="4"/>
      <c r="AA677" s="4"/>
      <c r="AB677" s="4"/>
      <c r="AC677" s="4"/>
      <c r="AD677" s="95"/>
    </row>
    <row r="678" spans="14:30">
      <c r="N678" s="7"/>
      <c r="P678" s="86"/>
      <c r="Q678" s="4"/>
      <c r="R678" s="4"/>
      <c r="S678" s="4"/>
      <c r="T678" s="4"/>
      <c r="U678" s="4"/>
      <c r="V678" s="4"/>
      <c r="X678" s="4"/>
      <c r="Y678" s="4"/>
      <c r="AA678" s="4"/>
      <c r="AB678" s="4"/>
      <c r="AC678" s="4"/>
      <c r="AD678" s="95"/>
    </row>
    <row r="679" spans="14:30">
      <c r="N679" s="7"/>
      <c r="P679" s="86"/>
      <c r="Q679" s="4"/>
      <c r="R679" s="4"/>
      <c r="S679" s="4"/>
      <c r="T679" s="4"/>
      <c r="U679" s="4"/>
      <c r="V679" s="4"/>
      <c r="X679" s="4"/>
      <c r="Y679" s="4"/>
      <c r="AA679" s="4"/>
      <c r="AB679" s="4"/>
      <c r="AC679" s="4"/>
      <c r="AD679" s="95"/>
    </row>
    <row r="680" spans="14:30">
      <c r="N680" s="7"/>
      <c r="P680" s="86"/>
      <c r="Q680" s="4"/>
      <c r="R680" s="4"/>
      <c r="S680" s="4"/>
      <c r="T680" s="4"/>
      <c r="U680" s="4"/>
      <c r="V680" s="4"/>
      <c r="X680" s="4"/>
      <c r="Y680" s="4"/>
      <c r="AA680" s="4"/>
      <c r="AB680" s="4"/>
      <c r="AC680" s="4"/>
      <c r="AD680" s="95"/>
    </row>
    <row r="681" spans="14:30">
      <c r="N681" s="7"/>
      <c r="P681" s="86"/>
      <c r="Q681" s="4"/>
      <c r="R681" s="4"/>
      <c r="S681" s="4"/>
      <c r="T681" s="4"/>
      <c r="U681" s="4"/>
      <c r="V681" s="4"/>
      <c r="X681" s="4"/>
      <c r="Y681" s="4"/>
      <c r="AA681" s="4"/>
      <c r="AB681" s="4"/>
      <c r="AC681" s="4"/>
      <c r="AD681" s="95"/>
    </row>
    <row r="682" spans="14:30">
      <c r="N682" s="7"/>
      <c r="P682" s="86"/>
      <c r="Q682" s="4"/>
      <c r="R682" s="4"/>
      <c r="S682" s="4"/>
      <c r="T682" s="4"/>
      <c r="U682" s="4"/>
      <c r="V682" s="4"/>
      <c r="X682" s="4"/>
      <c r="Y682" s="4"/>
      <c r="AA682" s="4"/>
      <c r="AB682" s="4"/>
      <c r="AC682" s="4"/>
      <c r="AD682" s="95"/>
    </row>
    <row r="683" spans="14:30">
      <c r="N683" s="7"/>
      <c r="P683" s="86"/>
      <c r="Q683" s="4"/>
      <c r="R683" s="4"/>
      <c r="S683" s="4"/>
      <c r="T683" s="4"/>
      <c r="U683" s="4"/>
      <c r="V683" s="4"/>
      <c r="X683" s="4"/>
      <c r="Y683" s="4"/>
      <c r="AA683" s="4"/>
      <c r="AB683" s="4"/>
      <c r="AC683" s="4"/>
      <c r="AD683" s="95"/>
    </row>
    <row r="684" spans="14:30">
      <c r="N684" s="7"/>
      <c r="P684" s="86"/>
      <c r="Q684" s="4"/>
      <c r="R684" s="4"/>
      <c r="S684" s="4"/>
      <c r="T684" s="4"/>
      <c r="U684" s="4"/>
      <c r="V684" s="4"/>
      <c r="X684" s="4"/>
      <c r="Y684" s="4"/>
      <c r="AA684" s="4"/>
      <c r="AB684" s="4"/>
      <c r="AC684" s="4"/>
      <c r="AD684" s="95"/>
    </row>
    <row r="685" spans="14:30">
      <c r="N685" s="7"/>
      <c r="P685" s="86"/>
      <c r="Q685" s="4"/>
      <c r="R685" s="4"/>
      <c r="S685" s="4"/>
      <c r="T685" s="4"/>
      <c r="U685" s="4"/>
      <c r="V685" s="4"/>
      <c r="X685" s="4"/>
      <c r="Y685" s="4"/>
      <c r="AA685" s="4"/>
      <c r="AB685" s="4"/>
      <c r="AC685" s="4"/>
      <c r="AD685" s="95"/>
    </row>
    <row r="686" spans="14:30">
      <c r="N686" s="7"/>
      <c r="P686" s="86"/>
      <c r="Q686" s="4"/>
      <c r="R686" s="4"/>
      <c r="S686" s="4"/>
      <c r="T686" s="4"/>
      <c r="U686" s="4"/>
      <c r="V686" s="4"/>
      <c r="X686" s="4"/>
      <c r="Y686" s="4"/>
      <c r="AA686" s="4"/>
      <c r="AB686" s="4"/>
      <c r="AC686" s="4"/>
      <c r="AD686" s="95"/>
    </row>
    <row r="687" spans="14:30">
      <c r="N687" s="7"/>
      <c r="P687" s="86"/>
      <c r="Q687" s="4"/>
      <c r="R687" s="4"/>
      <c r="S687" s="4"/>
      <c r="T687" s="4"/>
      <c r="U687" s="4"/>
      <c r="V687" s="4"/>
      <c r="X687" s="4"/>
      <c r="Y687" s="4"/>
      <c r="AA687" s="4"/>
      <c r="AB687" s="4"/>
      <c r="AC687" s="4"/>
      <c r="AD687" s="95"/>
    </row>
    <row r="688" spans="14:30">
      <c r="N688" s="7"/>
      <c r="P688" s="86"/>
      <c r="Q688" s="4"/>
      <c r="R688" s="4"/>
      <c r="S688" s="4"/>
      <c r="T688" s="4"/>
      <c r="U688" s="4"/>
      <c r="V688" s="4"/>
      <c r="X688" s="4"/>
      <c r="Y688" s="4"/>
      <c r="AA688" s="4"/>
      <c r="AB688" s="4"/>
      <c r="AC688" s="4"/>
      <c r="AD688" s="95"/>
    </row>
    <row r="689" spans="14:30">
      <c r="N689" s="7"/>
      <c r="P689" s="86"/>
      <c r="Q689" s="4"/>
      <c r="R689" s="4"/>
      <c r="S689" s="4"/>
      <c r="T689" s="4"/>
      <c r="U689" s="4"/>
      <c r="V689" s="4"/>
      <c r="X689" s="4"/>
      <c r="Y689" s="4"/>
      <c r="AA689" s="4"/>
      <c r="AB689" s="4"/>
      <c r="AC689" s="4"/>
      <c r="AD689" s="95"/>
    </row>
    <row r="690" spans="14:30">
      <c r="N690" s="7"/>
      <c r="P690" s="86"/>
      <c r="Q690" s="4"/>
      <c r="R690" s="4"/>
      <c r="S690" s="4"/>
      <c r="T690" s="4"/>
      <c r="U690" s="4"/>
      <c r="V690" s="4"/>
      <c r="X690" s="4"/>
      <c r="Y690" s="4"/>
      <c r="AA690" s="4"/>
      <c r="AB690" s="4"/>
      <c r="AC690" s="4"/>
      <c r="AD690" s="95"/>
    </row>
    <row r="691" spans="14:30">
      <c r="N691" s="7"/>
      <c r="P691" s="86"/>
      <c r="Q691" s="4"/>
      <c r="R691" s="4"/>
      <c r="S691" s="4"/>
      <c r="T691" s="4"/>
      <c r="U691" s="4"/>
      <c r="V691" s="4"/>
      <c r="X691" s="4"/>
      <c r="Y691" s="4"/>
      <c r="AA691" s="4"/>
      <c r="AB691" s="4"/>
      <c r="AC691" s="4"/>
      <c r="AD691" s="95"/>
    </row>
    <row r="692" spans="14:30">
      <c r="N692" s="7"/>
      <c r="P692" s="86"/>
      <c r="Q692" s="4"/>
      <c r="R692" s="4"/>
      <c r="S692" s="4"/>
      <c r="T692" s="4"/>
      <c r="U692" s="4"/>
      <c r="V692" s="4"/>
      <c r="X692" s="4"/>
      <c r="Y692" s="4"/>
      <c r="AA692" s="4"/>
      <c r="AB692" s="4"/>
      <c r="AC692" s="4"/>
      <c r="AD692" s="95"/>
    </row>
    <row r="693" spans="14:30">
      <c r="N693" s="7"/>
      <c r="P693" s="86"/>
      <c r="Q693" s="4"/>
      <c r="R693" s="4"/>
      <c r="S693" s="4"/>
      <c r="T693" s="4"/>
      <c r="U693" s="4"/>
      <c r="V693" s="4"/>
      <c r="X693" s="4"/>
      <c r="Y693" s="4"/>
      <c r="AA693" s="4"/>
      <c r="AB693" s="4"/>
      <c r="AC693" s="4"/>
      <c r="AD693" s="95"/>
    </row>
    <row r="694" spans="14:30">
      <c r="N694" s="7"/>
      <c r="P694" s="86"/>
      <c r="Q694" s="4"/>
      <c r="R694" s="4"/>
      <c r="S694" s="4"/>
      <c r="T694" s="4"/>
      <c r="U694" s="4"/>
      <c r="V694" s="4"/>
      <c r="X694" s="4"/>
      <c r="Y694" s="4"/>
      <c r="AA694" s="4"/>
      <c r="AB694" s="4"/>
      <c r="AC694" s="4"/>
      <c r="AD694" s="95"/>
    </row>
    <row r="695" spans="14:30">
      <c r="N695" s="7"/>
      <c r="P695" s="86"/>
      <c r="Q695" s="4"/>
      <c r="R695" s="4"/>
      <c r="S695" s="4"/>
      <c r="T695" s="4"/>
      <c r="U695" s="4"/>
      <c r="V695" s="4"/>
      <c r="X695" s="4"/>
      <c r="Y695" s="4"/>
      <c r="AA695" s="4"/>
      <c r="AB695" s="4"/>
      <c r="AC695" s="4"/>
      <c r="AD695" s="95"/>
    </row>
    <row r="696" spans="14:30">
      <c r="N696" s="7"/>
      <c r="P696" s="86"/>
      <c r="Q696" s="4"/>
      <c r="R696" s="4"/>
      <c r="S696" s="4"/>
      <c r="T696" s="4"/>
      <c r="U696" s="4"/>
      <c r="V696" s="4"/>
      <c r="X696" s="4"/>
      <c r="Y696" s="4"/>
      <c r="AA696" s="4"/>
      <c r="AB696" s="4"/>
      <c r="AC696" s="4"/>
      <c r="AD696" s="95"/>
    </row>
    <row r="697" spans="14:30">
      <c r="N697" s="7"/>
      <c r="P697" s="86"/>
      <c r="Q697" s="4"/>
      <c r="R697" s="4"/>
      <c r="S697" s="4"/>
      <c r="T697" s="4"/>
      <c r="U697" s="4"/>
      <c r="V697" s="4"/>
      <c r="X697" s="4"/>
      <c r="Y697" s="4"/>
      <c r="AA697" s="4"/>
      <c r="AB697" s="4"/>
      <c r="AC697" s="4"/>
      <c r="AD697" s="95"/>
    </row>
    <row r="698" spans="14:30">
      <c r="N698" s="7"/>
      <c r="P698" s="86"/>
      <c r="Q698" s="4"/>
      <c r="R698" s="4"/>
      <c r="S698" s="4"/>
      <c r="T698" s="4"/>
      <c r="U698" s="4"/>
      <c r="V698" s="4"/>
      <c r="X698" s="4"/>
      <c r="Y698" s="4"/>
      <c r="AA698" s="4"/>
      <c r="AB698" s="4"/>
      <c r="AC698" s="4"/>
      <c r="AD698" s="95"/>
    </row>
    <row r="699" spans="14:30">
      <c r="N699" s="7"/>
      <c r="P699" s="86"/>
      <c r="Q699" s="4"/>
      <c r="R699" s="4"/>
      <c r="S699" s="4"/>
      <c r="T699" s="4"/>
      <c r="U699" s="4"/>
      <c r="V699" s="4"/>
      <c r="X699" s="4"/>
      <c r="Y699" s="4"/>
      <c r="AA699" s="4"/>
      <c r="AB699" s="4"/>
      <c r="AC699" s="4"/>
      <c r="AD699" s="95"/>
    </row>
    <row r="700" spans="14:30">
      <c r="N700" s="7"/>
      <c r="P700" s="86"/>
      <c r="Q700" s="4"/>
      <c r="R700" s="4"/>
      <c r="S700" s="4"/>
      <c r="T700" s="4"/>
      <c r="U700" s="4"/>
      <c r="V700" s="4"/>
      <c r="X700" s="4"/>
      <c r="Y700" s="4"/>
      <c r="AA700" s="4"/>
      <c r="AB700" s="4"/>
      <c r="AC700" s="4"/>
      <c r="AD700" s="95"/>
    </row>
    <row r="701" spans="14:30">
      <c r="N701" s="7"/>
      <c r="P701" s="86"/>
      <c r="Q701" s="4"/>
      <c r="R701" s="4"/>
      <c r="S701" s="4"/>
      <c r="T701" s="4"/>
      <c r="U701" s="4"/>
      <c r="V701" s="4"/>
      <c r="X701" s="4"/>
      <c r="Y701" s="4"/>
      <c r="AA701" s="4"/>
      <c r="AB701" s="4"/>
      <c r="AC701" s="4"/>
      <c r="AD701" s="95"/>
    </row>
    <row r="702" spans="14:30">
      <c r="N702" s="7"/>
      <c r="P702" s="86"/>
      <c r="Q702" s="4"/>
      <c r="R702" s="4"/>
      <c r="S702" s="4"/>
      <c r="T702" s="4"/>
      <c r="U702" s="4"/>
      <c r="V702" s="4"/>
      <c r="X702" s="4"/>
      <c r="Y702" s="4"/>
      <c r="AA702" s="4"/>
      <c r="AB702" s="4"/>
      <c r="AC702" s="4"/>
      <c r="AD702" s="95"/>
    </row>
    <row r="703" spans="14:30">
      <c r="N703" s="7"/>
      <c r="P703" s="86"/>
      <c r="Q703" s="4"/>
      <c r="R703" s="4"/>
      <c r="S703" s="4"/>
      <c r="T703" s="4"/>
      <c r="U703" s="4"/>
      <c r="V703" s="4"/>
      <c r="X703" s="4"/>
      <c r="Y703" s="4"/>
      <c r="AA703" s="4"/>
      <c r="AB703" s="4"/>
      <c r="AC703" s="4"/>
      <c r="AD703" s="95"/>
    </row>
    <row r="704" spans="14:30">
      <c r="N704" s="7"/>
      <c r="P704" s="86"/>
      <c r="Q704" s="4"/>
      <c r="R704" s="4"/>
      <c r="S704" s="4"/>
      <c r="T704" s="4"/>
      <c r="U704" s="4"/>
      <c r="V704" s="4"/>
      <c r="X704" s="4"/>
      <c r="Y704" s="4"/>
      <c r="AA704" s="4"/>
      <c r="AB704" s="4"/>
      <c r="AC704" s="4"/>
      <c r="AD704" s="95"/>
    </row>
    <row r="705" spans="14:30">
      <c r="N705" s="7"/>
      <c r="P705" s="86"/>
      <c r="Q705" s="4"/>
      <c r="R705" s="4"/>
      <c r="S705" s="4"/>
      <c r="T705" s="4"/>
      <c r="U705" s="4"/>
      <c r="V705" s="4"/>
      <c r="X705" s="4"/>
      <c r="Y705" s="4"/>
      <c r="AA705" s="4"/>
      <c r="AB705" s="4"/>
      <c r="AC705" s="4"/>
      <c r="AD705" s="95"/>
    </row>
    <row r="706" spans="14:30">
      <c r="N706" s="7"/>
      <c r="P706" s="86"/>
      <c r="Q706" s="4"/>
      <c r="R706" s="4"/>
      <c r="S706" s="4"/>
      <c r="T706" s="4"/>
      <c r="U706" s="4"/>
      <c r="V706" s="4"/>
      <c r="X706" s="4"/>
      <c r="Y706" s="4"/>
      <c r="AA706" s="4"/>
      <c r="AB706" s="4"/>
      <c r="AC706" s="4"/>
      <c r="AD706" s="95"/>
    </row>
    <row r="707" spans="14:30">
      <c r="N707" s="7"/>
      <c r="P707" s="86"/>
      <c r="Q707" s="4"/>
      <c r="R707" s="4"/>
      <c r="S707" s="4"/>
      <c r="T707" s="4"/>
      <c r="U707" s="4"/>
      <c r="V707" s="4"/>
      <c r="X707" s="4"/>
      <c r="Y707" s="4"/>
      <c r="AA707" s="4"/>
      <c r="AB707" s="4"/>
      <c r="AC707" s="4"/>
      <c r="AD707" s="95"/>
    </row>
    <row r="708" spans="14:30">
      <c r="N708" s="7"/>
      <c r="P708" s="86"/>
      <c r="Q708" s="4"/>
      <c r="R708" s="4"/>
      <c r="S708" s="4"/>
      <c r="T708" s="4"/>
      <c r="U708" s="4"/>
      <c r="V708" s="4"/>
      <c r="X708" s="4"/>
      <c r="Y708" s="4"/>
      <c r="AA708" s="4"/>
      <c r="AB708" s="4"/>
      <c r="AC708" s="4"/>
      <c r="AD708" s="95"/>
    </row>
  </sheetData>
  <mergeCells count="46">
    <mergeCell ref="A1:M1"/>
    <mergeCell ref="N1:X1"/>
    <mergeCell ref="AF2:AR2"/>
    <mergeCell ref="P4:AE4"/>
    <mergeCell ref="AS4:BE4"/>
    <mergeCell ref="BF4:BH4"/>
    <mergeCell ref="BI4:BK4"/>
    <mergeCell ref="BL4:BM4"/>
    <mergeCell ref="Q5:S5"/>
    <mergeCell ref="T5:V5"/>
    <mergeCell ref="W5:Y5"/>
    <mergeCell ref="Z5:AB5"/>
    <mergeCell ref="AC5:AE5"/>
    <mergeCell ref="AG5:AI5"/>
    <mergeCell ref="AJ5:AL5"/>
    <mergeCell ref="AM5:AO5"/>
    <mergeCell ref="AP5:AR5"/>
    <mergeCell ref="AT5:AV5"/>
    <mergeCell ref="AW5:AY5"/>
    <mergeCell ref="AZ5:BB5"/>
    <mergeCell ref="BC5:BE5"/>
    <mergeCell ref="BF5:BH5"/>
    <mergeCell ref="BI5:BK5"/>
    <mergeCell ref="BL5:BM5"/>
    <mergeCell ref="E6:K6"/>
    <mergeCell ref="P16:AE16"/>
    <mergeCell ref="AF16:AR16"/>
    <mergeCell ref="AS16:BE16"/>
    <mergeCell ref="BF16:BH16"/>
    <mergeCell ref="BI16:BK16"/>
    <mergeCell ref="BL16:BM16"/>
    <mergeCell ref="Q17:S17"/>
    <mergeCell ref="T17:V17"/>
    <mergeCell ref="W17:Y17"/>
    <mergeCell ref="Z17:AB17"/>
    <mergeCell ref="AC17:AE17"/>
    <mergeCell ref="AG17:AI17"/>
    <mergeCell ref="AJ17:AL17"/>
    <mergeCell ref="AM17:AO17"/>
    <mergeCell ref="AP17:AR17"/>
    <mergeCell ref="AT17:AV17"/>
    <mergeCell ref="AW17:AY17"/>
    <mergeCell ref="AZ17:BB17"/>
    <mergeCell ref="BC17:BE17"/>
    <mergeCell ref="BF17:BH17"/>
    <mergeCell ref="BI17:BK17"/>
  </mergeCells>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53"/>
  <sheetViews>
    <sheetView zoomScale="85" zoomScaleNormal="85" topLeftCell="A13" workbookViewId="0">
      <selection activeCell="G41" sqref="G41"/>
    </sheetView>
  </sheetViews>
  <sheetFormatPr defaultColWidth="9" defaultRowHeight="15"/>
  <cols>
    <col min="1" max="1" width="26.8571428571429" customWidth="1"/>
    <col min="2" max="2" width="25.5714285714286" customWidth="1"/>
    <col min="3" max="3" width="10.1428571428571" customWidth="1"/>
  </cols>
  <sheetData>
    <row r="1" ht="27.75" spans="1:9">
      <c r="A1" s="1" t="s">
        <v>513</v>
      </c>
      <c r="B1" s="1"/>
      <c r="C1" s="1"/>
      <c r="D1" s="1"/>
      <c r="E1" s="1"/>
      <c r="F1" s="1"/>
      <c r="G1" s="1"/>
      <c r="H1" s="1"/>
      <c r="I1" s="1"/>
    </row>
    <row r="2" spans="1:9">
      <c r="A2" s="2"/>
      <c r="B2" s="2" t="s">
        <v>91</v>
      </c>
      <c r="C2" s="3"/>
      <c r="D2" s="4"/>
      <c r="E2" s="2"/>
      <c r="F2" s="2"/>
      <c r="G2" s="2"/>
      <c r="H2" s="2"/>
      <c r="I2" s="2"/>
    </row>
    <row r="3" spans="1:9">
      <c r="A3" s="2"/>
      <c r="B3" s="2" t="s">
        <v>92</v>
      </c>
      <c r="C3" s="5"/>
      <c r="D3" s="4"/>
      <c r="E3" s="2"/>
      <c r="F3" s="2"/>
      <c r="G3" s="2"/>
      <c r="H3" s="2"/>
      <c r="I3" s="2"/>
    </row>
    <row r="4" spans="1:9">
      <c r="A4" s="2"/>
      <c r="B4" s="2" t="s">
        <v>96</v>
      </c>
      <c r="C4" s="6"/>
      <c r="D4" s="4"/>
      <c r="E4" s="2"/>
      <c r="F4" s="2"/>
      <c r="G4" s="2"/>
      <c r="H4" s="2"/>
      <c r="I4" s="2"/>
    </row>
    <row r="5" spans="1:9">
      <c r="A5" s="7" t="s">
        <v>97</v>
      </c>
      <c r="B5" s="7" t="s">
        <v>98</v>
      </c>
      <c r="C5" s="7" t="s">
        <v>99</v>
      </c>
      <c r="D5" s="4"/>
      <c r="E5" s="8" t="s">
        <v>100</v>
      </c>
      <c r="F5" s="8"/>
      <c r="G5" s="8"/>
      <c r="H5" s="8"/>
      <c r="I5" s="7"/>
    </row>
    <row r="6" customFormat="1" spans="1:9">
      <c r="A6" s="7"/>
      <c r="B6" s="7"/>
      <c r="C6" s="7"/>
      <c r="D6" s="9" t="s">
        <v>514</v>
      </c>
      <c r="E6" s="8"/>
      <c r="F6" s="8"/>
      <c r="G6" s="8"/>
      <c r="H6" s="8"/>
      <c r="I6" s="7"/>
    </row>
    <row r="7" customFormat="1" spans="1:9">
      <c r="A7" s="7" t="s">
        <v>515</v>
      </c>
      <c r="B7" s="7"/>
      <c r="C7" s="7"/>
      <c r="D7" s="4"/>
      <c r="E7" s="8"/>
      <c r="F7" s="8"/>
      <c r="G7" s="8"/>
      <c r="H7" s="8"/>
      <c r="I7" s="7"/>
    </row>
    <row r="8" customFormat="1" spans="1:9">
      <c r="A8" s="7"/>
      <c r="B8" s="7"/>
      <c r="C8" s="7"/>
      <c r="D8" s="4"/>
      <c r="E8" s="8"/>
      <c r="F8" s="8"/>
      <c r="G8" s="8"/>
      <c r="H8" s="8"/>
      <c r="I8" s="7"/>
    </row>
    <row r="9" spans="1:9">
      <c r="A9" t="s">
        <v>516</v>
      </c>
      <c r="B9" s="10">
        <v>0.91</v>
      </c>
      <c r="D9" t="s">
        <v>517</v>
      </c>
    </row>
    <row r="10" customFormat="1" spans="1:9">
      <c r="A10" t="s">
        <v>518</v>
      </c>
      <c r="B10" s="11">
        <f>(1-B9)/(2.2*10^6)</f>
        <v>4.09090909090909e-8</v>
      </c>
      <c r="C10" t="s">
        <v>173</v>
      </c>
      <c r="D10" t="s">
        <v>519</v>
      </c>
    </row>
    <row r="11" spans="1:9">
      <c r="A11" t="s">
        <v>520</v>
      </c>
      <c r="B11" s="10">
        <v>0.95</v>
      </c>
      <c r="D11" t="s">
        <v>517</v>
      </c>
    </row>
    <row r="12" customFormat="1" spans="1:9">
      <c r="A12" t="s">
        <v>521</v>
      </c>
      <c r="B12" s="11">
        <f>(1-B11)/(2.2*10^6)</f>
        <v>2.27272727272727e-8</v>
      </c>
      <c r="C12" t="s">
        <v>173</v>
      </c>
      <c r="D12" t="s">
        <v>522</v>
      </c>
    </row>
    <row r="13" spans="1:9">
      <c r="A13" t="s">
        <v>523</v>
      </c>
      <c r="B13" s="10">
        <v>0.98</v>
      </c>
      <c r="D13" t="s">
        <v>517</v>
      </c>
    </row>
    <row r="14" spans="1:9">
      <c r="A14" t="s">
        <v>524</v>
      </c>
      <c r="B14" s="11">
        <f>(1-B13)/(2.2*10^6)</f>
        <v>9.0909090909091e-9</v>
      </c>
      <c r="C14" t="s">
        <v>173</v>
      </c>
      <c r="D14" t="s">
        <v>525</v>
      </c>
    </row>
    <row r="16" spans="1:9">
      <c r="A16" t="s">
        <v>526</v>
      </c>
      <c r="B16" s="10">
        <v>0.97</v>
      </c>
      <c r="D16" t="s">
        <v>527</v>
      </c>
    </row>
    <row r="17" spans="1:6">
      <c r="A17" t="s">
        <v>528</v>
      </c>
      <c r="B17" s="10">
        <v>0.98</v>
      </c>
      <c r="D17" t="s">
        <v>529</v>
      </c>
    </row>
    <row r="18" spans="1:6">
      <c r="A18" t="s">
        <v>530</v>
      </c>
      <c r="B18" s="10">
        <v>0.99</v>
      </c>
      <c r="D18" t="s">
        <v>531</v>
      </c>
    </row>
    <row r="19" spans="1:6">
      <c r="B19">
        <f>IF(((1-D_limit_min)/Constants!B12)&lt;Fsw,2,1)</f>
        <v>1</v>
      </c>
      <c r="D19" t="s">
        <v>532</v>
      </c>
    </row>
    <row r="20" spans="1:6">
      <c r="A20" t="s">
        <v>533</v>
      </c>
      <c r="B20" s="12">
        <f>CHOOSE(B19,D_limit_min,(1-Constants!B10*Fsw))</f>
        <v>0.97</v>
      </c>
      <c r="D20" t="s">
        <v>534</v>
      </c>
    </row>
    <row r="22" spans="1:6">
      <c r="A22" t="s">
        <v>535</v>
      </c>
      <c r="B22" s="10">
        <f>325*10^-9</f>
        <v>3.25e-7</v>
      </c>
      <c r="C22" t="s">
        <v>173</v>
      </c>
      <c r="D22" t="s">
        <v>536</v>
      </c>
    </row>
    <row r="23" customFormat="1" spans="1:6">
      <c r="B23" s="13"/>
    </row>
    <row r="24" ht="15.75" spans="1:6">
      <c r="A24" s="14" t="s">
        <v>537</v>
      </c>
      <c r="E24" t="s">
        <v>538</v>
      </c>
      <c r="F24" s="15">
        <f>'Design Converter'!H12*1000</f>
        <v>700000</v>
      </c>
    </row>
    <row r="25" spans="1:6">
      <c r="A25" t="s">
        <v>484</v>
      </c>
      <c r="B25" s="10">
        <f>0.00005-(0.00000000001*F24)</f>
        <v>4.3e-5</v>
      </c>
      <c r="C25" t="s">
        <v>12</v>
      </c>
      <c r="D25" t="s">
        <v>539</v>
      </c>
    </row>
    <row r="26" spans="1:6">
      <c r="A26" t="s">
        <v>482</v>
      </c>
      <c r="B26" s="10">
        <v>2000</v>
      </c>
      <c r="C26" s="16" t="s">
        <v>35</v>
      </c>
      <c r="D26" t="s">
        <v>540</v>
      </c>
    </row>
    <row r="27" spans="1:6">
      <c r="A27" t="s">
        <v>541</v>
      </c>
      <c r="B27" s="10">
        <f>0.156</f>
        <v>0.156</v>
      </c>
      <c r="C27" s="16" t="s">
        <v>7</v>
      </c>
      <c r="D27" t="s">
        <v>542</v>
      </c>
    </row>
    <row r="28" spans="1:6">
      <c r="A28" t="s">
        <v>543</v>
      </c>
      <c r="B28" s="10">
        <v>2000</v>
      </c>
      <c r="C28" s="16" t="s">
        <v>35</v>
      </c>
    </row>
    <row r="29" spans="1:6">
      <c r="A29" t="s">
        <v>486</v>
      </c>
      <c r="B29" s="10">
        <f>0.9</f>
        <v>0.9</v>
      </c>
      <c r="C29" t="s">
        <v>244</v>
      </c>
      <c r="D29" t="s">
        <v>544</v>
      </c>
    </row>
    <row r="30" spans="1:6">
      <c r="A30" t="s">
        <v>545</v>
      </c>
      <c r="B30" s="10">
        <v>1</v>
      </c>
      <c r="C30" t="s">
        <v>244</v>
      </c>
      <c r="D30" t="s">
        <v>546</v>
      </c>
    </row>
    <row r="32" customFormat="1" spans="1:6">
      <c r="A32" s="17" t="s">
        <v>438</v>
      </c>
    </row>
    <row r="33" customFormat="1" spans="1:7">
      <c r="A33" t="s">
        <v>547</v>
      </c>
      <c r="B33" s="10">
        <v>1.26</v>
      </c>
      <c r="C33" t="s">
        <v>7</v>
      </c>
      <c r="D33" t="s">
        <v>548</v>
      </c>
    </row>
    <row r="34" spans="1:7">
      <c r="A34" t="s">
        <v>549</v>
      </c>
      <c r="B34" s="10">
        <f>(800*10^-6)/1</f>
        <v>0.0008</v>
      </c>
      <c r="C34" t="s">
        <v>550</v>
      </c>
      <c r="D34" t="s">
        <v>551</v>
      </c>
    </row>
    <row r="36" spans="1:7">
      <c r="A36" s="17" t="s">
        <v>552</v>
      </c>
    </row>
    <row r="37" spans="1:7">
      <c r="A37" t="s">
        <v>553</v>
      </c>
      <c r="B37" s="10">
        <v>4</v>
      </c>
      <c r="C37" t="s">
        <v>283</v>
      </c>
    </row>
    <row r="39" spans="1:7">
      <c r="A39" s="17" t="s">
        <v>554</v>
      </c>
    </row>
    <row r="40" spans="1:7">
      <c r="A40" t="s">
        <v>555</v>
      </c>
      <c r="B40" s="10">
        <v>3.02</v>
      </c>
      <c r="C40" t="s">
        <v>7</v>
      </c>
      <c r="D40" t="s">
        <v>556</v>
      </c>
    </row>
    <row r="41" spans="1:7">
      <c r="A41" t="s">
        <v>557</v>
      </c>
      <c r="B41" s="10">
        <v>2.85</v>
      </c>
      <c r="C41" t="s">
        <v>7</v>
      </c>
      <c r="D41" t="s">
        <v>556</v>
      </c>
    </row>
    <row r="42" spans="1:7">
      <c r="A42" t="s">
        <v>558</v>
      </c>
      <c r="B42" s="10">
        <v>0.17</v>
      </c>
      <c r="C42" t="s">
        <v>7</v>
      </c>
      <c r="D42" t="s">
        <v>556</v>
      </c>
    </row>
    <row r="44" spans="1:7">
      <c r="A44" s="17" t="s">
        <v>559</v>
      </c>
    </row>
    <row r="45" spans="1:7">
      <c r="A45" t="s">
        <v>560</v>
      </c>
      <c r="B45" s="10">
        <v>7.2</v>
      </c>
      <c r="C45" t="s">
        <v>7</v>
      </c>
      <c r="D45" t="s">
        <v>561</v>
      </c>
    </row>
    <row r="47" spans="1:7">
      <c r="A47" s="17" t="s">
        <v>562</v>
      </c>
    </row>
    <row r="48" spans="1:7">
      <c r="A48" t="s">
        <v>563</v>
      </c>
      <c r="B48" s="10">
        <f>3.3*(10^-3)</f>
        <v>0.0033</v>
      </c>
      <c r="C48" t="s">
        <v>12</v>
      </c>
      <c r="D48" t="s">
        <v>564</v>
      </c>
      <c r="G48" t="s">
        <v>565</v>
      </c>
    </row>
    <row r="50" spans="1:4">
      <c r="A50" t="s">
        <v>566</v>
      </c>
    </row>
    <row r="51" spans="1:4">
      <c r="A51" t="s">
        <v>567</v>
      </c>
      <c r="B51" s="10">
        <v>2.97</v>
      </c>
      <c r="C51" t="s">
        <v>7</v>
      </c>
      <c r="D51" t="s">
        <v>568</v>
      </c>
    </row>
    <row r="52" spans="1:4">
      <c r="A52" t="s">
        <v>569</v>
      </c>
      <c r="B52" s="10">
        <v>40</v>
      </c>
      <c r="C52" t="s">
        <v>7</v>
      </c>
      <c r="D52" t="s">
        <v>570</v>
      </c>
    </row>
    <row r="53" spans="1:4">
      <c r="A53" t="s">
        <v>571</v>
      </c>
      <c r="B53" s="10">
        <v>40</v>
      </c>
      <c r="C53" t="s">
        <v>7</v>
      </c>
      <c r="D53" t="s">
        <v>572</v>
      </c>
    </row>
  </sheetData>
  <mergeCells count="2">
    <mergeCell ref="A1:I1"/>
    <mergeCell ref="E5:H5"/>
  </mergeCells>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B2:B3"/>
  <sheetViews>
    <sheetView zoomScale="70" zoomScaleNormal="70" topLeftCell="B1" workbookViewId="0">
      <selection activeCell="E3" sqref="E3"/>
    </sheetView>
  </sheetViews>
  <sheetFormatPr defaultColWidth="9" defaultRowHeight="15" outlineLevelRow="2" outlineLevelCol="1"/>
  <cols>
    <col min="3" max="3" width="144.857142857143" customWidth="1"/>
  </cols>
  <sheetData>
    <row r="2" spans="2:2">
      <c r="B2" t="str">
        <f>"Eff_vs_IOUT"</f>
        <v>Eff_vs_IOUT</v>
      </c>
    </row>
    <row r="3" ht="379.7" customHeight="1"/>
  </sheetData>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2"/>
  <sheetViews>
    <sheetView workbookViewId="0">
      <selection activeCell="C2" sqref="C2"/>
    </sheetView>
  </sheetViews>
  <sheetFormatPr defaultColWidth="9" defaultRowHeight="15" outlineLevelRow="1"/>
  <cols>
    <col min="2" max="2" width="71.2857142857143" customWidth="1"/>
  </cols>
  <sheetData>
    <row r="2" ht="294.6" customHeight="1"/>
  </sheetData>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2:D5"/>
  <sheetViews>
    <sheetView workbookViewId="0">
      <selection activeCell="B3" sqref="B3"/>
    </sheetView>
  </sheetViews>
  <sheetFormatPr defaultColWidth="9" defaultRowHeight="15" outlineLevelRow="4" outlineLevelCol="3"/>
  <sheetData>
    <row r="2" spans="1:4">
      <c r="A2" t="s">
        <v>573</v>
      </c>
    </row>
    <row r="3" spans="1:4">
      <c r="B3">
        <f>VIN_min</f>
        <v>3</v>
      </c>
    </row>
    <row r="4" spans="1:4">
      <c r="B4">
        <f>VIN_nom</f>
        <v>4</v>
      </c>
      <c r="D4">
        <v>2.5</v>
      </c>
    </row>
    <row r="5" spans="1:4">
      <c r="B5">
        <f>VIN_max</f>
        <v>12.6</v>
      </c>
    </row>
  </sheetData>
  <dataValidations count="3">
    <dataValidation type="list" allowBlank="1" showInputMessage="1" showErrorMessage="1" sqref="D4">
      <formula1>$B$3:$B$5</formula1>
    </dataValidation>
    <dataValidation type="decimal" operator="between" allowBlank="1" showInputMessage="1" showErrorMessage="1" sqref="F4">
      <formula1>B3</formula1>
      <formula2>B5</formula2>
    </dataValidation>
    <dataValidation type="list" showInputMessage="1" showErrorMessage="1" sqref="I15" showDropDown="1">
      <formula1>$B$3:$B$5</formula1>
    </dataValidation>
  </dataValidation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10" master="" otherUserPermission="visible"/>
  <rangeList sheetStid="2" master="" otherUserPermission="visible"/>
  <rangeList sheetStid="4" master="" otherUserPermission="visible"/>
  <rangeList sheetStid="5" master="" otherUserPermission="visible"/>
  <rangeList sheetStid="3" master="" otherUserPermission="visible"/>
  <rangeList sheetStid="6" master="" otherUserPermission="visible"/>
  <rangeList sheetStid="7" master="" otherUserPermission="visible"/>
  <rangeList sheetStid="8"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Company>Texas Instruments Incorporated</Company>
  <Application>Microsoft Excel</Application>
  <HeadingPairs>
    <vt:vector size="2" baseType="variant">
      <vt:variant>
        <vt:lpstr>工作表</vt:lpstr>
      </vt:variant>
      <vt:variant>
        <vt:i4>9</vt:i4>
      </vt:variant>
    </vt:vector>
  </HeadingPairs>
  <TitlesOfParts>
    <vt:vector size="9" baseType="lpstr">
      <vt:lpstr>Design Converter</vt:lpstr>
      <vt:lpstr>Licenses</vt:lpstr>
      <vt:lpstr>Variable_Management</vt:lpstr>
      <vt:lpstr>Eff_vs_IOUT</vt:lpstr>
      <vt:lpstr>Loop_Modeling</vt:lpstr>
      <vt:lpstr>Constants</vt:lpstr>
      <vt:lpstr>Plot_Management_Eff</vt:lpstr>
      <vt:lpstr>Plot_Management_Sch</vt:lpstr>
      <vt:lpstr>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BMC-BCS</dc:creator>
  <cp:lastModifiedBy>User</cp:lastModifiedBy>
  <dcterms:created xsi:type="dcterms:W3CDTF">2018-06-26T09:13:00Z</dcterms:created>
  <cp:lastPrinted>2018-08-09T07:13:00Z</cp:lastPrinted>
  <dcterms:modified xsi:type="dcterms:W3CDTF">2026-10-07T20:58:55Z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FA8F5C428ACF4829BF6D84869630F810_13</vt:lpwstr>
  </property>
  <property fmtid="{D5CDD505-2E9C-101B-9397-08002B2CF9AE}" pid="3" name="KSOProductBuildVer">
    <vt:lpwstr>1045-12.1.0.28485</vt:lpwstr>
  </property>
  <property fmtid="{D5CDD505-2E9C-101B-9397-08002B2CF9AE}" pid="4" name="CalculationRule">
    <vt:i4>0</vt:i4>
  </property>
</Properties>
</file>